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M:\ISO\CMRT\"/>
    </mc:Choice>
  </mc:AlternateContent>
  <xr:revisionPtr revIDLastSave="0" documentId="13_ncr:1_{A686F2B2-1E95-4B11-A7FD-C137F10D98F1}"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10" yWindow="-110" windowWidth="19420" windowHeight="110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5" i="5" s="1"/>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V20" i="5"/>
  <c r="E20" i="5"/>
  <c r="X20" i="5" s="1"/>
  <c r="V21" i="5"/>
  <c r="E21" i="5"/>
  <c r="X21" i="5" s="1"/>
  <c r="V22" i="5"/>
  <c r="E22" i="5"/>
  <c r="X22" i="5" s="1"/>
  <c r="V23" i="5"/>
  <c r="E23" i="5"/>
  <c r="V24" i="5"/>
  <c r="E24" i="5"/>
  <c r="X24" i="5" s="1"/>
  <c r="V25" i="5"/>
  <c r="E25" i="5"/>
  <c r="X25" i="5" s="1"/>
  <c r="V26" i="5"/>
  <c r="E26" i="5"/>
  <c r="X26" i="5" s="1"/>
  <c r="V27" i="5"/>
  <c r="V28" i="5"/>
  <c r="E28" i="5"/>
  <c r="X28" i="5" s="1"/>
  <c r="V29" i="5"/>
  <c r="E29" i="5"/>
  <c r="X29" i="5" s="1"/>
  <c r="V30" i="5"/>
  <c r="E30" i="5"/>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V44" i="5"/>
  <c r="E44" i="5"/>
  <c r="X44" i="5" s="1"/>
  <c r="V45" i="5"/>
  <c r="E45" i="5"/>
  <c r="X45" i="5" s="1"/>
  <c r="V46" i="5"/>
  <c r="E46" i="5"/>
  <c r="X46" i="5" s="1"/>
  <c r="V47" i="5"/>
  <c r="E47" i="5"/>
  <c r="X47" i="5" s="1"/>
  <c r="V48" i="5"/>
  <c r="E48" i="5"/>
  <c r="X48" i="5" s="1"/>
  <c r="V49" i="5"/>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V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H71" i="5"/>
  <c r="E71" i="5"/>
  <c r="X71" i="5" s="1"/>
  <c r="V72" i="5"/>
  <c r="E72" i="5"/>
  <c r="X72" i="5" s="1"/>
  <c r="V73" i="5"/>
  <c r="E73" i="5"/>
  <c r="X73" i="5" s="1"/>
  <c r="V74" i="5"/>
  <c r="E74" i="5"/>
  <c r="X74" i="5" s="1"/>
  <c r="V75" i="5"/>
  <c r="E75" i="5"/>
  <c r="X75" i="5" s="1"/>
  <c r="V76" i="5"/>
  <c r="E76" i="5"/>
  <c r="X76" i="5" s="1"/>
  <c r="V77" i="5"/>
  <c r="E77" i="5"/>
  <c r="X77" i="5" s="1"/>
  <c r="V78" i="5"/>
  <c r="V79" i="5"/>
  <c r="E79" i="5"/>
  <c r="X79" i="5" s="1"/>
  <c r="V80" i="5"/>
  <c r="E80" i="5"/>
  <c r="V81" i="5"/>
  <c r="E81" i="5"/>
  <c r="X81" i="5" s="1"/>
  <c r="V82" i="5"/>
  <c r="E82" i="5"/>
  <c r="X82" i="5" s="1"/>
  <c r="V83" i="5"/>
  <c r="E83" i="5"/>
  <c r="X83" i="5" s="1"/>
  <c r="V84" i="5"/>
  <c r="E84" i="5"/>
  <c r="X84" i="5" s="1"/>
  <c r="V85" i="5"/>
  <c r="E85" i="5"/>
  <c r="X85" i="5" s="1"/>
  <c r="V86" i="5"/>
  <c r="E86" i="5"/>
  <c r="X86" i="5" s="1"/>
  <c r="V87" i="5"/>
  <c r="V88" i="5"/>
  <c r="E88" i="5"/>
  <c r="V89" i="5"/>
  <c r="E89" i="5"/>
  <c r="X89" i="5" s="1"/>
  <c r="V90" i="5"/>
  <c r="E90" i="5"/>
  <c r="X90" i="5" s="1"/>
  <c r="V91" i="5"/>
  <c r="E91" i="5"/>
  <c r="X91" i="5" s="1"/>
  <c r="V92" i="5"/>
  <c r="V93" i="5"/>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V104" i="5"/>
  <c r="E104" i="5"/>
  <c r="X104" i="5" s="1"/>
  <c r="V105" i="5"/>
  <c r="E105" i="5"/>
  <c r="X105" i="5" s="1"/>
  <c r="V106" i="5"/>
  <c r="E106" i="5"/>
  <c r="X106" i="5" s="1"/>
  <c r="V107" i="5"/>
  <c r="E107" i="5"/>
  <c r="X107" i="5" s="1"/>
  <c r="V108" i="5"/>
  <c r="V109" i="5"/>
  <c r="E109" i="5"/>
  <c r="X109" i="5" s="1"/>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D10" i="6" s="1"/>
  <c r="B9" i="6"/>
  <c r="G9" i="6" s="1"/>
  <c r="H9" i="6" s="1"/>
  <c r="D9" i="6" s="1"/>
  <c r="B63" i="6"/>
  <c r="G63" i="6" s="1"/>
  <c r="B62" i="6"/>
  <c r="G62" i="6" s="1"/>
  <c r="B60" i="6"/>
  <c r="G60" i="6" s="1"/>
  <c r="B59" i="6"/>
  <c r="G59" i="6"/>
  <c r="B58" i="6"/>
  <c r="G58" i="6" s="1"/>
  <c r="B57" i="6"/>
  <c r="G57" i="6" s="1"/>
  <c r="B56" i="6"/>
  <c r="G56" i="6" s="1"/>
  <c r="B55" i="6"/>
  <c r="G55" i="6" s="1"/>
  <c r="B54" i="6"/>
  <c r="G54" i="6"/>
  <c r="B17" i="6"/>
  <c r="B16" i="6"/>
  <c r="B15" i="6"/>
  <c r="G15" i="6" s="1"/>
  <c r="H15" i="6" s="1"/>
  <c r="B14" i="6"/>
  <c r="G14" i="6"/>
  <c r="H14" i="6" s="1"/>
  <c r="H13" i="6"/>
  <c r="B12" i="6"/>
  <c r="G12" i="6"/>
  <c r="H12" i="6" s="1"/>
  <c r="D12" i="6" s="1"/>
  <c r="B11" i="6"/>
  <c r="G11" i="6"/>
  <c r="H11" i="6" s="1"/>
  <c r="D11" i="6" s="1"/>
  <c r="B8" i="6"/>
  <c r="G8" i="6"/>
  <c r="H8" i="6" s="1"/>
  <c r="D8" i="6" s="1"/>
  <c r="B7" i="6"/>
  <c r="G7" i="6" s="1"/>
  <c r="H7" i="6" s="1"/>
  <c r="D7" i="6"/>
  <c r="B6" i="6"/>
  <c r="G6" i="6"/>
  <c r="B5" i="6"/>
  <c r="B4" i="6"/>
  <c r="G4" i="6"/>
  <c r="H4" i="6" s="1"/>
  <c r="D4" i="6" s="1"/>
  <c r="S2492" i="5"/>
  <c r="B90" i="4"/>
  <c r="H67" i="4"/>
  <c r="P47" i="4"/>
  <c r="P46" i="4"/>
  <c r="P45" i="4"/>
  <c r="B45" i="4" s="1"/>
  <c r="A30" i="6" s="1"/>
  <c r="P44" i="4"/>
  <c r="P43" i="4"/>
  <c r="Q43" i="4" s="1"/>
  <c r="P41" i="4"/>
  <c r="P40" i="4"/>
  <c r="P39" i="4"/>
  <c r="B39" i="4" s="1"/>
  <c r="P38" i="4"/>
  <c r="P37" i="4"/>
  <c r="Q37" i="4" s="1"/>
  <c r="P35" i="4"/>
  <c r="P34" i="4"/>
  <c r="P33" i="4"/>
  <c r="P32" i="4"/>
  <c r="P31" i="4"/>
  <c r="Q31" i="4" s="1"/>
  <c r="P29" i="4"/>
  <c r="P28" i="4"/>
  <c r="B28" i="4" s="1"/>
  <c r="B34" i="4" s="1"/>
  <c r="A21" i="6" s="1"/>
  <c r="P27" i="4"/>
  <c r="B27" i="4" s="1"/>
  <c r="A15" i="6" s="1"/>
  <c r="P26" i="4"/>
  <c r="B26" i="4" s="1"/>
  <c r="B32" i="4" s="1"/>
  <c r="A19" i="6" s="1"/>
  <c r="D11" i="4"/>
  <c r="A5" i="4"/>
  <c r="Q4" i="5"/>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B21" i="6"/>
  <c r="B51" i="6"/>
  <c r="G51" i="6" s="1"/>
  <c r="G16" i="6"/>
  <c r="H16" i="6" s="1"/>
  <c r="B19" i="6"/>
  <c r="A38" i="2"/>
  <c r="J4" i="5"/>
  <c r="B41" i="4"/>
  <c r="B71" i="4" s="1"/>
  <c r="A52"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37" i="4" s="1"/>
  <c r="B44" i="4"/>
  <c r="A29" i="6"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41" i="6"/>
  <c r="G41" i="6" s="1"/>
  <c r="B31" i="6"/>
  <c r="G31" i="6"/>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F31" i="6" s="1"/>
  <c r="H31" i="6" s="1"/>
  <c r="D31" i="6" s="1"/>
  <c r="B39" i="6"/>
  <c r="G39" i="6"/>
  <c r="F24" i="6"/>
  <c r="F49" i="6" s="1"/>
  <c r="H49" i="6" s="1"/>
  <c r="D49" i="6" s="1"/>
  <c r="B44" i="6"/>
  <c r="G44" i="6"/>
  <c r="B49" i="6"/>
  <c r="G49" i="6"/>
  <c r="B34" i="6"/>
  <c r="G34" i="6"/>
  <c r="B29" i="6"/>
  <c r="G29" i="6"/>
  <c r="B24" i="6"/>
  <c r="G24" i="6"/>
  <c r="H24" i="6" s="1"/>
  <c r="D24" i="6" s="1"/>
  <c r="G19" i="6"/>
  <c r="H19"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s="1"/>
  <c r="D21" i="6" s="1"/>
  <c r="B36" i="6"/>
  <c r="G36" i="6" s="1"/>
  <c r="H36" i="6" s="1"/>
  <c r="D36" i="6" s="1"/>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6"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984" i="5"/>
  <c r="F984" i="5"/>
  <c r="R984" i="5"/>
  <c r="J984" i="5"/>
  <c r="I984" i="5"/>
  <c r="F44" i="6"/>
  <c r="H44" i="6" s="1"/>
  <c r="D44" i="6" s="1"/>
  <c r="F34" i="6"/>
  <c r="H34" i="6" s="1"/>
  <c r="D34" i="6" s="1"/>
  <c r="F39" i="6"/>
  <c r="H39" i="6" s="1"/>
  <c r="D39" i="6" s="1"/>
  <c r="F65" i="6"/>
  <c r="F29" i="6"/>
  <c r="H29" i="6" s="1"/>
  <c r="D29" i="6" s="1"/>
  <c r="H26" i="6"/>
  <c r="D26" i="6" s="1"/>
  <c r="D19" i="6"/>
  <c r="I27" i="5"/>
  <c r="E27" i="5"/>
  <c r="X27" i="5" s="1"/>
  <c r="F43" i="5"/>
  <c r="E43" i="5"/>
  <c r="X43" i="5" s="1"/>
  <c r="H87" i="5"/>
  <c r="E87" i="5"/>
  <c r="X87" i="5" s="1"/>
  <c r="F103" i="5"/>
  <c r="E103" i="5"/>
  <c r="X103" i="5" s="1"/>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s="1"/>
  <c r="I7" i="5"/>
  <c r="R8" i="5"/>
  <c r="J8" i="5"/>
  <c r="I8" i="5"/>
  <c r="G8" i="5"/>
  <c r="H8" i="5"/>
  <c r="F8" i="5"/>
  <c r="E8" i="5"/>
  <c r="X8" i="5" s="1"/>
  <c r="V209" i="5"/>
  <c r="G209" i="5"/>
  <c r="R379" i="5"/>
  <c r="E379" i="5"/>
  <c r="X379" i="5" s="1"/>
  <c r="H423" i="5"/>
  <c r="E423" i="5"/>
  <c r="X423" i="5" s="1"/>
  <c r="X30" i="5"/>
  <c r="X80" i="5"/>
  <c r="X88" i="5"/>
  <c r="X343"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G6" i="5"/>
  <c r="R6" i="5"/>
  <c r="F6" i="5"/>
  <c r="I6" i="5"/>
  <c r="H6" i="5"/>
  <c r="E6" i="5"/>
  <c r="X6" i="5" s="1"/>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4" i="6" a="1"/>
  <c r="B5" i="5" l="1"/>
  <c r="F69" i="6"/>
  <c r="C69" i="6" s="1"/>
  <c r="B68" i="4"/>
  <c r="A49" i="6" s="1"/>
  <c r="B65" i="4"/>
  <c r="A47" i="6" s="1"/>
  <c r="A26" i="6"/>
  <c r="B53" i="4"/>
  <c r="A37" i="6" s="1"/>
  <c r="B59" i="4"/>
  <c r="A42" i="6" s="1"/>
  <c r="A27" i="6"/>
  <c r="B42" i="6"/>
  <c r="G42" i="6" s="1"/>
  <c r="C17" i="6"/>
  <c r="G17" i="6"/>
  <c r="H17" i="6" s="1"/>
  <c r="B22" i="6"/>
  <c r="F22" i="6"/>
  <c r="B52" i="6"/>
  <c r="G52" i="6" s="1"/>
  <c r="K67" i="6"/>
  <c r="D16" i="6"/>
  <c r="C16" i="6"/>
  <c r="C26" i="6"/>
  <c r="C21" i="6"/>
  <c r="B64" i="4"/>
  <c r="A46" i="6" s="1"/>
  <c r="C36" i="6"/>
  <c r="B58" i="4"/>
  <c r="A41" i="6" s="1"/>
  <c r="F41" i="6"/>
  <c r="H41" i="6" s="1"/>
  <c r="D41" i="6" s="1"/>
  <c r="C31" i="6"/>
  <c r="B52" i="4"/>
  <c r="A36" i="6" s="1"/>
  <c r="F46" i="6"/>
  <c r="H46" i="6" s="1"/>
  <c r="D46" i="6" s="1"/>
  <c r="C51" i="6"/>
  <c r="C46" i="6"/>
  <c r="F51" i="6"/>
  <c r="H51" i="6" s="1"/>
  <c r="D51" i="6" s="1"/>
  <c r="B31" i="4"/>
  <c r="A18" i="6" s="1"/>
  <c r="B85" i="4"/>
  <c r="A60" i="6" s="1"/>
  <c r="B77" i="4"/>
  <c r="A55" i="6" s="1"/>
  <c r="B79" i="4"/>
  <c r="A57" i="6" s="1"/>
  <c r="B75" i="4"/>
  <c r="A54" i="6" s="1"/>
  <c r="B81" i="4"/>
  <c r="A58" i="6" s="1"/>
  <c r="B55" i="4"/>
  <c r="A38" i="6" s="1"/>
  <c r="B43" i="4"/>
  <c r="A28" i="6" s="1"/>
  <c r="B61" i="4"/>
  <c r="A43" i="6" s="1"/>
  <c r="B49" i="4"/>
  <c r="A33" i="6" s="1"/>
  <c r="B89" i="4"/>
  <c r="A63" i="6" s="1"/>
  <c r="B37" i="4"/>
  <c r="A23" i="6" s="1"/>
  <c r="B57" i="4"/>
  <c r="A40" i="6" s="1"/>
  <c r="B69" i="4"/>
  <c r="A50" i="6" s="1"/>
  <c r="D15" i="6"/>
  <c r="F20" i="6"/>
  <c r="D49" i="4"/>
  <c r="F25" i="6"/>
  <c r="D67" i="4"/>
  <c r="B20" i="6"/>
  <c r="C15" i="6"/>
  <c r="K65" i="6"/>
  <c r="D14" i="6"/>
  <c r="C14" i="6"/>
  <c r="B83" i="4"/>
  <c r="A59" i="6" s="1"/>
  <c r="C29" i="6"/>
  <c r="B56" i="4"/>
  <c r="A39" i="6" s="1"/>
  <c r="C24" i="6"/>
  <c r="B35" i="4"/>
  <c r="A22" i="6" s="1"/>
  <c r="B2" i="6"/>
  <c r="C44" i="6"/>
  <c r="B67" i="4"/>
  <c r="A48" i="6" s="1"/>
  <c r="C39" i="6"/>
  <c r="B62" i="4"/>
  <c r="A44" i="6" s="1"/>
  <c r="B50" i="4"/>
  <c r="A34" i="6" s="1"/>
  <c r="C2" i="6"/>
  <c r="C49" i="6"/>
  <c r="C34" i="6"/>
  <c r="C19" i="6"/>
  <c r="B87" i="4"/>
  <c r="A62" i="6" s="1"/>
  <c r="D55" i="4"/>
  <c r="D31" i="4"/>
  <c r="D43" i="4"/>
  <c r="D74" i="4"/>
  <c r="D37" i="4"/>
  <c r="C12" i="6"/>
  <c r="C11" i="6"/>
  <c r="C10" i="6"/>
  <c r="C9" i="6"/>
  <c r="B33" i="4"/>
  <c r="A20" i="6" s="1"/>
  <c r="C8" i="6"/>
  <c r="B51" i="4"/>
  <c r="A35" i="6" s="1"/>
  <c r="B63" i="4"/>
  <c r="A45" i="6" s="1"/>
  <c r="C7" i="6"/>
  <c r="A25" i="6"/>
  <c r="X23" i="5"/>
  <c r="G67" i="4"/>
  <c r="G61" i="4"/>
  <c r="A14" i="6"/>
  <c r="G43" i="4"/>
  <c r="C5" i="6"/>
  <c r="G49" i="4"/>
  <c r="G31" i="4"/>
  <c r="G55" i="4"/>
  <c r="F6" i="6"/>
  <c r="H6" i="6" s="1"/>
  <c r="F64" i="6"/>
  <c r="G5" i="6"/>
  <c r="H5" i="6" s="1"/>
  <c r="D5" i="6" s="1"/>
  <c r="G74" i="4"/>
  <c r="A16" i="6"/>
  <c r="C4" i="6"/>
  <c r="G64" i="6"/>
  <c r="G65" i="6" l="1"/>
  <c r="H65" i="6" s="1"/>
  <c r="D65" i="6" s="1"/>
  <c r="G66" i="6"/>
  <c r="AB5" i="5"/>
  <c r="V5" i="5"/>
  <c r="G5" i="5" s="1"/>
  <c r="G22" i="6"/>
  <c r="H22" i="6" s="1"/>
  <c r="B32" i="6"/>
  <c r="G32" i="6" s="1"/>
  <c r="B37" i="6"/>
  <c r="G37" i="6" s="1"/>
  <c r="F27" i="6"/>
  <c r="F54" i="6" s="1"/>
  <c r="B27" i="6"/>
  <c r="G27" i="6" s="1"/>
  <c r="D17" i="6"/>
  <c r="B47" i="6"/>
  <c r="G47" i="6" s="1"/>
  <c r="C41" i="6"/>
  <c r="B25" i="6"/>
  <c r="G25" i="6" s="1"/>
  <c r="H25" i="6" s="1"/>
  <c r="B35" i="6"/>
  <c r="G35" i="6" s="1"/>
  <c r="B40" i="6"/>
  <c r="G40" i="6" s="1"/>
  <c r="G20" i="6"/>
  <c r="H20" i="6" s="1"/>
  <c r="B30" i="6"/>
  <c r="G30" i="6" s="1"/>
  <c r="B50" i="6"/>
  <c r="G50" i="6" s="1"/>
  <c r="B45" i="6"/>
  <c r="G45" i="6" s="1"/>
  <c r="F35" i="6"/>
  <c r="F40" i="6"/>
  <c r="F66" i="6"/>
  <c r="F50" i="6"/>
  <c r="F30" i="6"/>
  <c r="F45" i="6"/>
  <c r="D6" i="6"/>
  <c r="C6" i="6"/>
  <c r="H64" i="6"/>
  <c r="B64" i="6"/>
  <c r="J5" i="5" l="1"/>
  <c r="H66" i="6"/>
  <c r="C66" i="6" s="1"/>
  <c r="C65" i="6"/>
  <c r="R5" i="5"/>
  <c r="E5" i="5"/>
  <c r="X5" i="5" s="1"/>
  <c r="I5" i="5"/>
  <c r="F5" i="5"/>
  <c r="H5" i="5"/>
  <c r="G68" i="6"/>
  <c r="G67" i="6"/>
  <c r="H67" i="6" s="1"/>
  <c r="G69" i="6" a="1"/>
  <c r="G69" i="6" s="1"/>
  <c r="H69" i="6" s="1"/>
  <c r="H30" i="6"/>
  <c r="D30" i="6" s="1"/>
  <c r="H50" i="6"/>
  <c r="D50" i="6" s="1"/>
  <c r="D22" i="6"/>
  <c r="C22" i="6"/>
  <c r="K68" i="6"/>
  <c r="H27" i="6"/>
  <c r="F68" i="6"/>
  <c r="F42" i="6"/>
  <c r="H42" i="6" s="1"/>
  <c r="F37" i="6"/>
  <c r="H37" i="6" s="1"/>
  <c r="F47" i="6"/>
  <c r="H47" i="6" s="1"/>
  <c r="F32" i="6"/>
  <c r="H32" i="6" s="1"/>
  <c r="F52" i="6"/>
  <c r="H52" i="6" s="1"/>
  <c r="D25" i="6"/>
  <c r="C25" i="6"/>
  <c r="D20" i="6"/>
  <c r="C20" i="6"/>
  <c r="K66" i="6"/>
  <c r="H35" i="6"/>
  <c r="F58" i="6"/>
  <c r="H58" i="6" s="1"/>
  <c r="H54" i="6"/>
  <c r="F55" i="6"/>
  <c r="F63" i="6"/>
  <c r="H63" i="6" s="1"/>
  <c r="F57" i="6"/>
  <c r="H57" i="6" s="1"/>
  <c r="F59" i="6"/>
  <c r="H59" i="6" s="1"/>
  <c r="F60" i="6"/>
  <c r="H60" i="6" s="1"/>
  <c r="F62" i="6"/>
  <c r="H62" i="6" s="1"/>
  <c r="H45" i="6"/>
  <c r="H40" i="6"/>
  <c r="C64" i="6"/>
  <c r="D64" i="6"/>
  <c r="S5" i="5"/>
  <c r="D66" i="6" l="1"/>
  <c r="D67" i="6"/>
  <c r="C67" i="6"/>
  <c r="H68" i="6"/>
  <c r="C68" i="6" s="1"/>
  <c r="C30" i="6"/>
  <c r="C50" i="6"/>
  <c r="D32" i="6"/>
  <c r="C32" i="6"/>
  <c r="D47" i="6"/>
  <c r="C47" i="6"/>
  <c r="D37" i="6"/>
  <c r="C37" i="6"/>
  <c r="D27" i="6"/>
  <c r="C27" i="6"/>
  <c r="D42" i="6"/>
  <c r="C42" i="6"/>
  <c r="D52" i="6"/>
  <c r="C52" i="6"/>
  <c r="D45" i="6"/>
  <c r="C45" i="6"/>
  <c r="D58" i="6"/>
  <c r="C58" i="6"/>
  <c r="D62" i="6"/>
  <c r="C62" i="6"/>
  <c r="D54" i="6"/>
  <c r="C54" i="6"/>
  <c r="D60" i="6"/>
  <c r="C60" i="6"/>
  <c r="D40" i="6"/>
  <c r="C40" i="6"/>
  <c r="D59" i="6"/>
  <c r="C59" i="6"/>
  <c r="D35" i="6"/>
  <c r="C35" i="6"/>
  <c r="D57" i="6"/>
  <c r="C57" i="6"/>
  <c r="D63" i="6"/>
  <c r="C63" i="6"/>
  <c r="F56" i="6"/>
  <c r="H56" i="6" s="1"/>
  <c r="H55" i="6"/>
  <c r="T5" i="5"/>
  <c r="D68" i="6" l="1"/>
  <c r="D55" i="6"/>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<sst xmlns="http://schemas.openxmlformats.org/spreadsheetml/2006/main" count="22540" uniqueCount="15890">
  <si>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</si>
  <si>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</si>
  <si>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</si>
  <si>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</si>
  <si>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</si>
  <si>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</si>
  <si>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</si>
  <si>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</si>
  <si>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</si>
  <si>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</si>
  <si>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</si>
  <si>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</si>
  <si>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</si>
  <si>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</si>
  <si>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</si>
  <si>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</si>
  <si>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</si>
  <si>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</si>
  <si>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</si>
  <si>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</si>
  <si>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</si>
  <si>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</si>
  <si>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</si>
  <si>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</si>
  <si>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</si>
  <si>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</si>
  <si>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</si>
  <si>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</si>
  <si>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</si>
  <si>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</si>
  <si>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</si>
  <si>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</si>
  <si>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</si>
  <si>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</si>
  <si>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</si>
  <si>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</si>
  <si>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</si>
  <si>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</si>
  <si>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</si>
  <si>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</si>
  <si>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</si>
  <si>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</si>
  <si>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</si>
  <si>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</si>
  <si>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</si>
  <si>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</si>
  <si>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</si>
  <si>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</si>
  <si>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</si>
  <si>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</si>
  <si>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</si>
  <si>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</si>
  <si>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</si>
  <si>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</si>
  <si>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</si>
  <si>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</si>
  <si>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</si>
  <si>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</si>
  <si>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</si>
  <si>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</si>
  <si>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</si>
  <si>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</si>
  <si>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</si>
  <si>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</si>
  <si>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</si>
  <si>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</si>
  <si>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</si>
  <si>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</si>
  <si>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</si>
  <si>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</si>
  <si>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</si>
  <si>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</si>
  <si>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</si>
  <si>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</si>
  <si>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</si>
  <si>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</si>
  <si>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</si>
  <si>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</si>
  <si>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</si>
  <si>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</si>
  <si>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</si>
  <si>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</si>
  <si>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</si>
  <si>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</si>
  <si>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</si>
  <si>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</si>
  <si>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</si>
  <si>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</si>
  <si>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</si>
  <si>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</si>
  <si>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</si>
  <si>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</si>
  <si>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</si>
  <si>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</si>
  <si>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</si>
  <si>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</si>
  <si>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</si>
  <si>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</si>
  <si>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</si>
  <si>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</si>
  <si>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</si>
  <si>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</si>
  <si>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</si>
  <si>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</si>
  <si>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</si>
  <si>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</si>
  <si>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</si>
  <si>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</si>
  <si>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</si>
  <si>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</si>
  <si>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</si>
  <si>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</si>
  <si>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</si>
  <si>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</si>
  <si>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</si>
  <si>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</si>
  <si>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</si>
  <si>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</si>
  <si>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</si>
  <si>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</si>
  <si>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</si>
  <si>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</si>
  <si>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</si>
  <si>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</si>
  <si>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</si>
  <si>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</si>
  <si>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</si>
  <si>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</si>
  <si>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</si>
  <si>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</si>
  <si>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</si>
  <si>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</si>
  <si>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</si>
  <si>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</si>
  <si>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</si>
  <si>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</si>
  <si>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</si>
  <si>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</si>
  <si>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</si>
  <si>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</si>
  <si>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</si>
  <si>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</si>
  <si>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</si>
  <si>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</si>
  <si>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</si>
  <si>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</si>
  <si>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</si>
  <si>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</si>
  <si>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</si>
  <si>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</si>
  <si>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</si>
  <si>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</si>
  <si>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</si>
  <si>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</si>
  <si>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</si>
  <si>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</si>
  <si>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</si>
  <si>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</si>
  <si>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</si>
  <si>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</si>
  <si>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</si>
  <si>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</si>
  <si>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</si>
  <si>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</si>
  <si>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</si>
  <si>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</si>
  <si>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</si>
  <si>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</si>
  <si>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</si>
  <si>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</si>
  <si>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</si>
  <si>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</si>
  <si>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</si>
  <si>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</si>
  <si>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</si>
  <si>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</si>
  <si>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</si>
  <si>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</si>
  <si>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</si>
  <si>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</si>
  <si>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</si>
  <si>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</si>
  <si>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</si>
  <si>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</si>
  <si>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</si>
  <si>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</si>
  <si>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</si>
  <si>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</si>
  <si>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</si>
  <si>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</si>
  <si>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</si>
  <si>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</si>
  <si>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</si>
  <si>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</si>
  <si>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</si>
  <si>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</si>
  <si>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</si>
  <si>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</si>
  <si>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</si>
  <si>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</si>
  <si>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</si>
  <si>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</si>
  <si>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</si>
  <si>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</si>
  <si>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</si>
  <si>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</si>
  <si>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</si>
  <si>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</si>
  <si>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</si>
  <si>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</si>
  <si>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</si>
  <si>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</si>
  <si>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</si>
  <si>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</si>
  <si>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</si>
  <si>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</si>
  <si>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</si>
  <si>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</si>
  <si>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</si>
  <si>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</si>
  <si>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</si>
  <si>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</si>
  <si>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</si>
  <si>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</si>
  <si>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</si>
  <si>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</si>
  <si>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</si>
  <si>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</si>
  <si>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</si>
  <si>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</si>
  <si>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</si>
  <si>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</si>
  <si>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</si>
  <si>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</si>
  <si>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</si>
  <si>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</si>
  <si>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</si>
  <si>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</si>
  <si>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</si>
  <si>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</si>
  <si>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</si>
  <si>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</si>
  <si>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</si>
  <si>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</si>
  <si>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</si>
  <si>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</si>
  <si>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</si>
  <si>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</si>
  <si>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</si>
  <si>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</si>
  <si>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</si>
  <si>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</si>
  <si>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</si>
  <si>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</si>
  <si>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</si>
  <si>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</si>
  <si>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</si>
  <si>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</si>
  <si>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</si>
  <si>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</si>
  <si>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</si>
  <si>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</si>
  <si>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</si>
  <si>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</si>
  <si>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</si>
  <si>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</si>
  <si>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</si>
  <si>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</si>
  <si>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</si>
  <si>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</si>
  <si>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</si>
  <si>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</si>
  <si>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</si>
  <si>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</si>
  <si>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</si>
  <si>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</si>
  <si>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</si>
  <si>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</si>
  <si>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</si>
  <si>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</si>
  <si>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</si>
  <si>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</si>
  <si>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</si>
  <si>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</si>
  <si>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</si>
  <si>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</si>
  <si>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</si>
  <si>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</si>
  <si>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</si>
  <si>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</si>
  <si>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</si>
  <si>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</si>
  <si>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</si>
  <si>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</si>
  <si>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</si>
  <si>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</si>
  <si>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</si>
  <si>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</si>
  <si>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</si>
  <si>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</si>
  <si>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</si>
  <si>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</si>
  <si>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</si>
  <si>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</si>
  <si>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</si>
  <si>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</si>
  <si>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</si>
  <si>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</si>
  <si>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</si>
  <si>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</si>
  <si>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</si>
  <si>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</si>
  <si>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</si>
  <si>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</si>
  <si>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</si>
  <si>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</si>
  <si>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</si>
  <si>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</si>
  <si>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</si>
  <si>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</si>
  <si>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</si>
  <si>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</si>
  <si>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</si>
  <si>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</si>
  <si>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</si>
  <si>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</si>
  <si>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</si>
  <si>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</si>
  <si>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</si>
  <si>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</si>
  <si>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</si>
  <si>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</si>
  <si>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</si>
  <si>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</si>
  <si>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</si>
  <si>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</si>
  <si>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</si>
  <si>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</si>
  <si>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</si>
  <si>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</si>
  <si>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</si>
  <si>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</si>
  <si>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</si>
  <si>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</si>
  <si>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</si>
  <si>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</si>
  <si>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</si>
  <si>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</si>
  <si>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</si>
  <si>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</si>
  <si>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</si>
  <si>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</si>
  <si>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</si>
  <si>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</si>
  <si>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</si>
  <si>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</si>
  <si>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</si>
  <si>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</si>
  <si>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</si>
  <si>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</si>
  <si>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</si>
  <si>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</si>
  <si>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</si>
  <si>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</si>
  <si>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</si>
  <si>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</si>
  <si>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</si>
  <si>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</si>
  <si>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</si>
  <si>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</si>
  <si>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</si>
  <si>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</si>
  <si>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</si>
  <si>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</si>
  <si>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</si>
  <si>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</si>
  <si>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</si>
  <si>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</si>
  <si>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</si>
  <si>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</si>
  <si>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</si>
  <si>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</si>
  <si>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</si>
  <si>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</si>
  <si>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</si>
  <si>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</si>
  <si>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</si>
  <si>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</si>
  <si>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</si>
  <si>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</si>
  <si>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</si>
  <si>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</si>
  <si>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</si>
  <si>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</si>
  <si>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</si>
  <si>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</si>
  <si>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</si>
  <si>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</si>
  <si>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</si>
  <si>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</si>
  <si>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</si>
  <si>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</si>
  <si>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</si>
  <si>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</si>
  <si>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</si>
  <si>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</si>
  <si>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</si>
  <si>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</si>
  <si>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</si>
  <si>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</si>
  <si>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</si>
  <si>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</si>
  <si>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</si>
  <si>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</si>
  <si>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</si>
  <si>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</si>
  <si>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</si>
  <si>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</si>
  <si>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</si>
  <si>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</si>
  <si>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</si>
  <si>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</si>
  <si>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</si>
  <si>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</si>
  <si>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</si>
  <si>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</si>
  <si>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</si>
  <si>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</si>
  <si>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</si>
  <si>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</si>
  <si>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</si>
  <si>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</si>
  <si>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</si>
  <si>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</si>
  <si>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</si>
  <si>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</si>
  <si>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</si>
  <si>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</si>
  <si>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</si>
  <si>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</si>
  <si>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</si>
  <si>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</si>
  <si>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</si>
  <si>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</si>
  <si>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</si>
  <si>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</si>
  <si>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</si>
  <si>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</si>
  <si>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</si>
  <si>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</si>
  <si>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</si>
  <si>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</si>
  <si>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</si>
  <si>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</si>
  <si>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</si>
  <si>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</si>
  <si>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</si>
  <si>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</si>
  <si>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</si>
  <si>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</si>
  <si>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</si>
  <si>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</si>
  <si>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</si>
  <si>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</si>
  <si>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</si>
  <si>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</si>
  <si>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</si>
  <si>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</si>
  <si>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</si>
  <si>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</si>
  <si>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</si>
  <si>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</si>
  <si>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</si>
  <si>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</si>
  <si>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</si>
  <si>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</si>
  <si>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</si>
  <si>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</si>
  <si>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</si>
  <si>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</si>
  <si>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</si>
  <si>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</si>
  <si>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</si>
  <si>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</si>
  <si>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</si>
  <si>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</si>
  <si>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</si>
  <si>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</si>
  <si>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</si>
  <si>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</si>
  <si>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</si>
  <si>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</si>
  <si>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</si>
  <si>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</si>
  <si>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</si>
  <si>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</si>
  <si>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</si>
  <si>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</si>
  <si>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</si>
  <si>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</si>
  <si>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</si>
  <si>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</si>
  <si>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</si>
  <si>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</si>
  <si>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</si>
  <si>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</si>
  <si>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</si>
  <si>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</si>
  <si>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</si>
  <si>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</si>
  <si>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</si>
  <si>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</si>
  <si>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</si>
  <si>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</si>
  <si>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</si>
  <si>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</si>
  <si>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</si>
  <si>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</si>
  <si>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</si>
  <si>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</si>
  <si>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</si>
  <si>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</si>
  <si>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</si>
  <si>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</si>
  <si>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</si>
  <si>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</si>
  <si>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</si>
  <si>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</si>
  <si>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</si>
  <si>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</si>
  <si>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</si>
  <si>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</si>
  <si>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</si>
  <si>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</si>
  <si>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</si>
  <si>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</si>
  <si>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</si>
  <si>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</si>
  <si>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</si>
  <si>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</si>
  <si>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</si>
  <si>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</si>
  <si>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</si>
  <si>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</si>
  <si>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</si>
  <si>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</si>
  <si>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</si>
  <si>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</si>
  <si>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</si>
  <si>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</si>
  <si>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</si>
  <si>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</si>
  <si>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</si>
  <si>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</si>
  <si>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</si>
  <si>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</si>
  <si>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</si>
  <si>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</si>
  <si>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</si>
  <si>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</si>
  <si>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</si>
  <si>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</si>
  <si>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</si>
  <si>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</si>
  <si>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</si>
  <si>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</si>
  <si>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</si>
  <si>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</si>
  <si>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</si>
  <si>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</si>
  <si>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</si>
  <si>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</si>
  <si>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</si>
  <si>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</si>
  <si>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</si>
  <si>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</si>
  <si>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</si>
  <si>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</si>
  <si>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</si>
  <si>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</si>
  <si>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</si>
  <si>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</si>
  <si>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</si>
  <si>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</si>
  <si>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</si>
  <si>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</si>
  <si>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</si>
  <si>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</si>
  <si>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</si>
  <si>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</si>
  <si>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</si>
  <si>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</si>
  <si>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</si>
  <si>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</si>
  <si>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</si>
  <si>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</si>
  <si>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</si>
  <si>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</si>
  <si>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</si>
  <si>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</si>
  <si>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</si>
  <si>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</si>
  <si>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</si>
  <si>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</si>
  <si>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</si>
  <si>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</si>
  <si>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</si>
  <si>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</si>
  <si>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</si>
  <si>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</si>
  <si>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</si>
  <si>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</si>
  <si>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</si>
  <si>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</si>
  <si>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</si>
  <si>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</si>
  <si>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</si>
  <si>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</si>
  <si>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</si>
  <si>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</si>
  <si>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</si>
  <si>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</si>
  <si>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</si>
  <si>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</si>
  <si>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</si>
  <si>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</si>
  <si>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</si>
  <si>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</si>
  <si>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</si>
  <si>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</si>
  <si>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</si>
  <si>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</si>
  <si>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</si>
  <si>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</si>
  <si>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</si>
  <si>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</si>
  <si>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</si>
  <si>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</si>
  <si>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</si>
  <si>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</si>
  <si>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</si>
  <si>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</si>
  <si>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</si>
  <si>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</si>
  <si>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</si>
  <si>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</si>
  <si>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</si>
  <si>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</si>
  <si>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</si>
  <si>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</si>
  <si>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</si>
  <si>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</si>
  <si>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</si>
  <si>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</si>
  <si>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</si>
  <si>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</si>
  <si>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</si>
  <si>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</si>
  <si>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</si>
  <si>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</si>
  <si>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</si>
  <si>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</si>
  <si>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</si>
  <si>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</si>
  <si>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</si>
  <si>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</si>
  <si>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</si>
  <si>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</si>
  <si>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</si>
  <si>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</si>
  <si>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</si>
  <si>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</si>
  <si>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</si>
  <si>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</si>
  <si>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</si>
  <si>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</si>
  <si>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</si>
  <si>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</si>
  <si>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</si>
  <si>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</si>
  <si>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</si>
  <si>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</si>
  <si>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</si>
  <si>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</si>
  <si>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</si>
  <si>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</si>
  <si>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</si>
  <si>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</si>
  <si>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</si>
  <si>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</si>
  <si>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</si>
  <si>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</si>
  <si>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</si>
  <si>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</si>
  <si>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</si>
  <si>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</si>
  <si>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</si>
  <si>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</si>
  <si>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</si>
  <si>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</si>
  <si>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</si>
  <si>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</si>
  <si>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</si>
  <si>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</si>
  <si>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</si>
  <si>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</si>
  <si>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</si>
  <si>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</si>
  <si>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</si>
  <si>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</si>
  <si>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</si>
  <si>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</si>
  <si>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</si>
  <si>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</si>
  <si>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</si>
  <si>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</si>
  <si>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</si>
  <si>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</si>
  <si>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</si>
  <si>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</si>
  <si>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</si>
  <si>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</si>
  <si>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</si>
  <si>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</si>
  <si>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</si>
  <si>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</si>
  <si>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</si>
  <si>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</si>
  <si>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</si>
  <si>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</si>
  <si>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</si>
  <si>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</si>
  <si>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</si>
  <si>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</si>
  <si>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</si>
  <si>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</si>
  <si>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</si>
  <si>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</si>
  <si>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</si>
  <si>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</si>
  <si>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</si>
  <si>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</si>
  <si>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</si>
  <si>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</si>
  <si>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</si>
  <si>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</si>
  <si>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</si>
  <si>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</si>
  <si>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</si>
  <si>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</si>
  <si>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</si>
  <si>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</si>
  <si>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</si>
  <si>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</si>
  <si>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</si>
  <si>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</si>
  <si>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</si>
  <si>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</si>
  <si>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</si>
  <si>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</si>
  <si>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</si>
  <si>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</si>
  <si>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</si>
  <si>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</si>
  <si>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</si>
  <si>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</si>
  <si>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</si>
  <si>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</si>
  <si>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</si>
  <si>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</si>
  <si>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</si>
  <si>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</si>
  <si>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</si>
  <si>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</si>
  <si>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</si>
  <si>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</si>
  <si>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</si>
  <si>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</si>
  <si>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</si>
  <si>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</si>
  <si>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</si>
  <si>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</si>
  <si>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</si>
  <si>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</si>
  <si>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</si>
  <si>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</si>
  <si>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</si>
  <si>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</si>
  <si>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</si>
  <si>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</si>
  <si>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</si>
  <si>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</si>
  <si>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</si>
  <si>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</si>
  <si>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</si>
  <si>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</si>
  <si>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</si>
  <si>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</si>
  <si>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</si>
  <si>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</si>
  <si>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</si>
  <si>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</si>
  <si>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</si>
  <si>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</si>
  <si>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</si>
  <si>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</si>
  <si>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</si>
  <si>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</si>
  <si>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</si>
  <si>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</si>
  <si>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</si>
  <si>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</si>
  <si>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</si>
  <si>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</si>
  <si>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</si>
  <si>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</si>
  <si>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</si>
  <si>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</si>
  <si>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</si>
  <si>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</si>
  <si>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</si>
  <si>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</si>
  <si>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</si>
  <si>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</si>
  <si>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</si>
  <si>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</si>
  <si>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</si>
  <si>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</si>
  <si>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</si>
  <si>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</si>
  <si>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</si>
  <si>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</si>
  <si>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</si>
  <si>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</si>
  <si>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</si>
  <si>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</si>
  <si>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</si>
  <si>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</si>
  <si>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</si>
  <si>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</si>
  <si>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</si>
  <si>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</si>
  <si>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</si>
  <si>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</si>
  <si>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</si>
  <si>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</si>
  <si>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</si>
  <si>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</si>
  <si>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</si>
  <si>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</si>
  <si>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</si>
  <si>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</si>
  <si>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</si>
  <si>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</si>
  <si>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</si>
  <si>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</si>
  <si>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</si>
  <si>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</si>
  <si>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</si>
  <si>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</si>
  <si>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</si>
  <si>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</si>
  <si>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</si>
  <si>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</si>
  <si>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</si>
  <si>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</si>
  <si>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</si>
  <si>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</si>
  <si>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</si>
  <si>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</si>
  <si>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</si>
  <si>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</si>
  <si>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</si>
  <si>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</si>
  <si>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</si>
  <si>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</si>
  <si>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</si>
  <si>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</si>
  <si>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</si>
  <si>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</si>
  <si>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</si>
  <si>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</si>
  <si>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</si>
  <si>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</si>
  <si>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</si>
  <si>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</si>
  <si>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</si>
  <si>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</si>
  <si>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</si>
  <si>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</si>
  <si>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</si>
  <si>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</si>
  <si>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</si>
  <si>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</si>
  <si>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</si>
  <si>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</si>
  <si>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</si>
  <si>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</si>
  <si>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</si>
  <si>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</si>
  <si>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</si>
  <si>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</si>
  <si>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</si>
  <si>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</si>
  <si>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</si>
  <si>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</si>
  <si>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</si>
  <si>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</si>
  <si>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</si>
  <si>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</si>
  <si>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</si>
  <si>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</si>
  <si>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</si>
  <si>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</si>
  <si>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</si>
  <si>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</si>
  <si>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</si>
  <si>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</si>
  <si>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</si>
  <si>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</si>
  <si>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</si>
  <si>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</si>
  <si>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</si>
  <si>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</si>
  <si>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</si>
  <si>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</si>
  <si>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</si>
  <si>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</si>
  <si>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</si>
  <si>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</si>
  <si>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</si>
  <si>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</si>
  <si>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</si>
  <si>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</si>
  <si>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</si>
  <si>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</si>
  <si>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</si>
  <si>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</si>
  <si>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</si>
  <si>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</si>
  <si>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</si>
  <si>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</si>
  <si>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</si>
  <si>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</si>
  <si>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</si>
  <si>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</si>
  <si>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</si>
  <si>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</si>
  <si>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</si>
  <si>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</si>
  <si>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</si>
  <si>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</si>
  <si>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</si>
  <si>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</si>
  <si>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</si>
  <si>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</si>
  <si>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</si>
  <si>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</si>
  <si>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</si>
  <si>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</si>
  <si>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</si>
  <si>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</si>
  <si>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</si>
  <si>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</si>
  <si>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</si>
  <si>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</si>
  <si>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</si>
  <si>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</si>
  <si>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</si>
  <si>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</si>
  <si>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</si>
  <si>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</si>
  <si>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</si>
  <si>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</si>
  <si>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</si>
  <si>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</si>
  <si>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</si>
  <si>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</si>
  <si>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</si>
  <si>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</si>
  <si>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</si>
  <si>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</si>
  <si>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</si>
  <si>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</si>
  <si>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</si>
  <si>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</si>
  <si>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</si>
  <si>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</si>
  <si>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</si>
  <si>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</si>
  <si>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</si>
  <si>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</si>
  <si>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</si>
  <si>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</si>
  <si>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</si>
  <si>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</si>
  <si>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</si>
  <si>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</si>
  <si>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</si>
  <si>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</si>
  <si>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</si>
  <si>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</si>
  <si>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</si>
  <si>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</si>
  <si>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</si>
  <si>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</si>
  <si>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</si>
  <si>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</si>
  <si>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</si>
  <si>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</si>
  <si>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</si>
  <si>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</si>
  <si>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</si>
  <si>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</si>
  <si>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</si>
  <si>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</si>
  <si>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</si>
  <si>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</si>
  <si>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</si>
  <si>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</si>
  <si>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</si>
  <si>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</si>
  <si>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</si>
  <si>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</si>
  <si>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</si>
  <si>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</si>
  <si>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</si>
  <si>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</si>
  <si>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</si>
  <si>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</si>
  <si>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</si>
  <si>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</si>
  <si>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</si>
  <si>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</si>
  <si>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</si>
  <si>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</si>
  <si>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</si>
  <si>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</si>
  <si>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</si>
  <si>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</si>
  <si>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</si>
  <si>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</si>
  <si>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</si>
  <si>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</si>
  <si>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</si>
  <si>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</si>
  <si>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</si>
  <si>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</si>
  <si>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</si>
  <si>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</si>
  <si>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</si>
  <si>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</si>
  <si>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</si>
  <si>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</si>
  <si>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</si>
  <si>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</si>
  <si>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</si>
  <si>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</si>
  <si>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</si>
  <si>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</si>
  <si>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</si>
  <si>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</si>
  <si>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</si>
  <si>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</si>
  <si>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</si>
  <si>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</si>
  <si>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</si>
  <si>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</si>
  <si>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</si>
  <si>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</si>
  <si>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</si>
  <si>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</si>
  <si>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</si>
  <si>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</si>
  <si>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</si>
  <si>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</si>
  <si>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</si>
  <si>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</si>
  <si>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</si>
  <si>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</si>
  <si>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</si>
  <si>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</si>
  <si>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</si>
  <si>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</si>
  <si>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</si>
  <si>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</si>
  <si>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</si>
  <si>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</si>
  <si>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</si>
  <si>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</si>
  <si>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</si>
  <si>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</si>
  <si>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</si>
  <si>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</si>
  <si>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</si>
  <si>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</si>
  <si>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</si>
  <si>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</si>
  <si>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</si>
  <si>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</si>
  <si>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</si>
  <si>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</si>
  <si>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</si>
  <si>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</si>
  <si>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</si>
  <si>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</si>
  <si>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</si>
  <si>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</si>
  <si>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</si>
  <si>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</si>
  <si>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</si>
  <si>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</si>
  <si>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</si>
  <si>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</si>
  <si>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</si>
  <si>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</si>
  <si>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</si>
  <si>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</si>
  <si>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</si>
  <si>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</si>
  <si>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</si>
  <si>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</si>
  <si>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</si>
  <si>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</si>
  <si>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</si>
  <si>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</si>
  <si>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</si>
  <si>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</si>
  <si>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</si>
  <si>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</si>
  <si>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</si>
  <si>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</si>
  <si>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</si>
  <si>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</si>
  <si>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</si>
  <si>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</si>
  <si>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</si>
  <si>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</si>
  <si>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</si>
  <si>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</si>
  <si>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</si>
  <si>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</si>
  <si>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</si>
  <si>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</si>
  <si>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</si>
  <si>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</si>
  <si>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</si>
  <si>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</si>
  <si>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</si>
  <si>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</si>
  <si>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</si>
  <si>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</si>
  <si>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</si>
  <si>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</si>
  <si>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</si>
  <si>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</si>
  <si>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</si>
  <si>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</si>
  <si>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</si>
  <si>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</si>
  <si>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</si>
  <si>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</si>
  <si>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</si>
  <si>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</si>
  <si>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</si>
  <si>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</si>
  <si>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</si>
  <si>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</si>
  <si>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</si>
  <si>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</si>
  <si>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</si>
  <si>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</si>
  <si>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</si>
  <si>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</si>
  <si>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</si>
  <si>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</si>
  <si>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</si>
  <si>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</si>
  <si>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</si>
  <si>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</si>
  <si>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</si>
  <si>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</si>
  <si>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</si>
  <si>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</si>
  <si>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</si>
  <si>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</si>
  <si>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</si>
  <si>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</si>
  <si>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</si>
  <si>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</si>
  <si>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</si>
  <si>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</si>
  <si>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</si>
  <si>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</si>
  <si>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</si>
  <si>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</si>
  <si>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</si>
  <si>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</si>
  <si>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</si>
  <si>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</si>
  <si>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</si>
  <si>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</si>
  <si>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</si>
  <si>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</si>
  <si>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</si>
  <si>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</si>
  <si>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</si>
  <si>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</si>
  <si>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</si>
  <si>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</si>
  <si>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</si>
  <si>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</si>
  <si>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</si>
  <si>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</si>
  <si>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</si>
  <si>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</si>
  <si>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</si>
  <si>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</si>
  <si>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</si>
  <si>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</si>
  <si>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</si>
  <si>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</si>
  <si>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</si>
  <si>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</si>
  <si>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</si>
  <si>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</si>
  <si>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</si>
  <si>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</si>
  <si>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</si>
  <si>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</si>
  <si>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</si>
  <si>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</si>
  <si>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</si>
  <si>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</si>
  <si>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</si>
  <si>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</si>
  <si>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</si>
  <si>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</si>
  <si>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</si>
  <si>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</si>
  <si>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</si>
  <si>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</si>
  <si>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</si>
  <si>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</si>
  <si>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</si>
  <si>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</si>
  <si>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</si>
  <si>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</si>
  <si>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</si>
  <si>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</si>
  <si>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</si>
  <si>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</si>
  <si>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</si>
  <si>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</si>
  <si>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</si>
  <si>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</si>
  <si>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</si>
  <si>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</si>
  <si>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</si>
  <si>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</si>
  <si>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</si>
  <si>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</si>
  <si>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</si>
  <si>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</si>
  <si>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</si>
  <si>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</si>
  <si>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</si>
  <si>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</si>
  <si>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</si>
  <si>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</si>
  <si>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</si>
  <si>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</si>
  <si>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</si>
  <si>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</si>
  <si>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</si>
  <si>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</si>
  <si>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</si>
  <si>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</si>
  <si>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</si>
  <si>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</si>
  <si>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</si>
  <si>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</si>
  <si>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</si>
  <si>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</si>
  <si>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</si>
  <si>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</si>
  <si>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</si>
  <si>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</si>
  <si>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</si>
  <si>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</si>
  <si>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</si>
  <si>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</si>
  <si>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</si>
  <si>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</si>
  <si>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</si>
  <si>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</si>
  <si>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</si>
  <si>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</si>
  <si>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</si>
  <si>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</si>
  <si>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</si>
  <si>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</si>
  <si>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</si>
  <si>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</si>
  <si>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</si>
  <si>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</si>
  <si>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</si>
  <si>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</si>
  <si>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</si>
  <si>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</si>
  <si>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</si>
  <si>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</si>
  <si>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</si>
  <si>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</si>
  <si>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</si>
  <si>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</si>
  <si>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</si>
  <si>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</si>
  <si>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</si>
  <si>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</si>
  <si>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</si>
  <si>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</si>
  <si>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</si>
  <si>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</si>
  <si>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</si>
  <si>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</si>
  <si>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</si>
  <si>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</si>
  <si>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</si>
  <si>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</si>
  <si>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</si>
  <si>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</si>
  <si>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</si>
  <si>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</si>
  <si>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</si>
  <si>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</si>
  <si>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</si>
  <si>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</si>
  <si>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</si>
  <si>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</si>
  <si>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</si>
  <si>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</si>
  <si>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</si>
  <si>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</si>
  <si>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</si>
  <si>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</si>
  <si>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</si>
  <si>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</si>
  <si>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</si>
  <si>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</si>
  <si>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</si>
  <si>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</si>
  <si>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</si>
  <si>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</si>
  <si>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</si>
  <si>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</si>
  <si>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</si>
  <si>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</si>
  <si>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</si>
  <si>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</si>
  <si>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</si>
  <si>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</si>
  <si>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</si>
  <si>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</si>
  <si>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</si>
  <si>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</si>
  <si>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</si>
  <si>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</si>
  <si>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</si>
  <si>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</si>
  <si>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</si>
  <si>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</si>
  <si>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</si>
  <si>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</si>
  <si>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</si>
  <si>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</si>
  <si>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</si>
  <si>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</si>
  <si>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</si>
  <si>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</si>
  <si>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</si>
  <si>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</si>
  <si>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</si>
  <si>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</si>
  <si>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</si>
  <si>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</si>
  <si>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</si>
  <si>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</si>
  <si>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</si>
  <si>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</si>
  <si>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</si>
  <si>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</si>
  <si>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</si>
  <si>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</si>
  <si>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</si>
  <si>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</si>
  <si>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</si>
  <si>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</si>
  <si>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</si>
  <si>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</si>
  <si>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</si>
  <si>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</si>
  <si>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</si>
  <si>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</si>
  <si>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</si>
  <si>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</si>
  <si>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</si>
  <si>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</si>
  <si>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</si>
  <si>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</si>
  <si>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</si>
  <si>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</si>
  <si>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</si>
  <si>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</si>
  <si>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</si>
  <si>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</si>
  <si>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</si>
  <si>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</si>
  <si>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</si>
  <si>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</si>
  <si>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</si>
  <si>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</si>
  <si>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</si>
  <si>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</si>
  <si>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</si>
  <si>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</si>
  <si>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</si>
  <si>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</si>
  <si>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</si>
  <si>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</si>
  <si>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</si>
  <si>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</si>
  <si>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</si>
  <si>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</si>
  <si>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</si>
  <si>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</si>
  <si>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</si>
  <si>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</si>
  <si>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</si>
  <si>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</si>
  <si>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</si>
  <si>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</si>
  <si>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</si>
  <si>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</si>
  <si>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</si>
  <si>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</si>
  <si>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</si>
  <si>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</si>
  <si>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</si>
  <si>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</si>
  <si>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</si>
  <si>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</si>
  <si>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</si>
  <si>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</si>
  <si>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</si>
  <si>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</si>
  <si>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</si>
  <si>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</si>
  <si>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</si>
  <si>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</si>
  <si>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</si>
  <si>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</si>
  <si>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</si>
  <si>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</si>
  <si>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</si>
  <si>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</si>
  <si>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</si>
  <si>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</si>
  <si>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</si>
  <si>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</si>
  <si>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</si>
  <si>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</si>
  <si>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</si>
  <si>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</si>
  <si>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</si>
  <si>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</si>
  <si>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</si>
  <si>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</si>
  <si>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</si>
  <si>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</si>
  <si>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</si>
  <si>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</si>
  <si>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</si>
  <si>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</si>
  <si>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</si>
  <si>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</si>
  <si>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</si>
  <si>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</si>
  <si>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</si>
  <si>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</si>
  <si>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</si>
  <si>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</si>
  <si>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</si>
  <si>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</si>
  <si>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</si>
  <si>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</si>
  <si>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</si>
  <si>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</si>
  <si>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</si>
  <si>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</si>
  <si>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</si>
  <si>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</si>
  <si>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</si>
  <si>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</si>
  <si>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</si>
  <si>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</si>
  <si>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</si>
  <si>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</si>
  <si>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</si>
  <si>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</si>
  <si>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</si>
  <si>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</si>
  <si>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</si>
  <si>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</si>
  <si>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</si>
  <si>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</si>
  <si>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</si>
  <si>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</si>
  <si>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</si>
  <si>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</si>
  <si>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</si>
  <si>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</si>
  <si>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</si>
  <si>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</si>
  <si>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</si>
  <si>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</si>
  <si>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</si>
  <si>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</si>
  <si>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</si>
  <si>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</si>
  <si>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</si>
  <si>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</si>
  <si>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</si>
  <si>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</si>
  <si>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</si>
  <si>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</si>
  <si>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</si>
  <si>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</si>
  <si>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</si>
  <si>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</si>
  <si>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</si>
  <si>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</si>
  <si>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</si>
  <si>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</si>
  <si>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</si>
  <si>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</si>
  <si>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</si>
  <si>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</si>
  <si>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</si>
  <si>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</si>
  <si>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</si>
  <si>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</si>
  <si>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</si>
  <si>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</si>
  <si>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</si>
  <si>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</si>
  <si>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</si>
  <si>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</si>
  <si>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</si>
  <si>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</si>
  <si>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</si>
  <si>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</si>
  <si>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</si>
  <si>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</si>
  <si>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</si>
  <si>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</si>
  <si>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</si>
  <si>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</si>
  <si>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</si>
  <si>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</si>
  <si>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</si>
  <si>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</si>
  <si>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</si>
  <si>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</si>
  <si>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</si>
  <si>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</si>
  <si>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</si>
  <si>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</si>
  <si>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</si>
  <si>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</si>
  <si>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</si>
  <si>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</si>
  <si>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</si>
  <si>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</si>
  <si>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</si>
  <si>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</si>
  <si>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</si>
  <si>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</si>
  <si>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</si>
  <si>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</si>
  <si>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</si>
  <si>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</si>
  <si>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</si>
  <si>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</si>
  <si>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</si>
  <si>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</si>
  <si>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</si>
  <si>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</si>
  <si>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</si>
  <si>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</si>
  <si>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</si>
  <si>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</si>
  <si>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</si>
  <si>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</si>
  <si>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</si>
  <si>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</si>
  <si>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</si>
  <si>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</si>
  <si>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</si>
  <si>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</si>
  <si>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</si>
  <si>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</si>
  <si>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</si>
  <si>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</si>
  <si>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</si>
  <si>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</si>
  <si>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</si>
  <si>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</si>
  <si>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</si>
  <si>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</si>
  <si>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</si>
  <si>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</si>
  <si>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</si>
  <si>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</si>
  <si>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</si>
  <si>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</si>
  <si>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</si>
  <si>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</si>
  <si>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</si>
  <si>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</si>
  <si>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</si>
  <si>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</si>
  <si>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</si>
  <si>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</si>
  <si>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</si>
  <si>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</si>
  <si>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</si>
  <si>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</si>
  <si>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</si>
  <si>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</si>
  <si>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</si>
  <si>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</si>
  <si>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</si>
  <si>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</si>
  <si>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</si>
  <si>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</si>
  <si>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</si>
  <si>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</si>
  <si>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</si>
  <si>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</si>
  <si>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</si>
  <si>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</si>
  <si>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</si>
  <si>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</si>
  <si>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</si>
  <si>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</si>
  <si>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</si>
  <si>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</si>
  <si>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</si>
  <si>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</si>
  <si>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</si>
  <si>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</si>
  <si>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</si>
  <si>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</si>
  <si>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</si>
  <si>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</si>
  <si>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</si>
  <si>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</si>
  <si>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</si>
  <si>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</si>
  <si>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</si>
  <si>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</si>
  <si>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</si>
  <si>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</si>
  <si>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</si>
  <si>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</si>
  <si>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</si>
  <si>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</si>
  <si>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</si>
  <si>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</si>
  <si>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</si>
  <si>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</si>
  <si>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</si>
  <si>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</si>
  <si>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</si>
  <si>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</si>
  <si>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</si>
  <si>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</si>
  <si>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</si>
  <si>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</si>
  <si>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</si>
  <si>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</si>
  <si>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</si>
  <si>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</si>
  <si>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</si>
  <si>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</si>
  <si>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</si>
  <si>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</si>
  <si>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</si>
  <si>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</si>
  <si>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</si>
  <si>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</si>
  <si>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</si>
  <si>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</si>
  <si>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</si>
  <si>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</si>
  <si>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</si>
  <si>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</si>
  <si>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</si>
  <si>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</si>
  <si>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</si>
  <si>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</si>
  <si>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</si>
  <si>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</si>
  <si>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</si>
  <si>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</si>
  <si>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</si>
  <si>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</si>
  <si>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</si>
  <si>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</si>
  <si>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</si>
  <si>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</si>
  <si>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</si>
  <si>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</si>
  <si>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</si>
  <si>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</si>
  <si>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</si>
  <si>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</si>
  <si>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</si>
  <si>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</si>
  <si>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</si>
  <si>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</si>
  <si>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</si>
  <si>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</si>
  <si>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</si>
  <si>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</si>
  <si>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</si>
  <si>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</si>
  <si>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</si>
  <si>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</si>
  <si>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</si>
  <si>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</si>
  <si>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</si>
  <si>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</si>
  <si>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</si>
  <si>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</si>
  <si>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</si>
  <si>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</si>
  <si>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</si>
  <si>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</si>
  <si>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</si>
  <si>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</si>
  <si>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</si>
  <si>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</si>
  <si>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</si>
  <si>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</si>
  <si>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</si>
  <si>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</si>
  <si>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</si>
  <si>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</si>
  <si>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</si>
  <si>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</si>
  <si>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</si>
  <si>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</si>
  <si>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</si>
  <si>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</si>
  <si>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</si>
  <si>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</si>
  <si>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</si>
  <si>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</si>
  <si>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</si>
  <si>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</si>
  <si>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</si>
  <si>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</si>
  <si>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</si>
  <si>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</si>
  <si>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</si>
  <si>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</si>
  <si>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</si>
  <si>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</si>
  <si>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</si>
  <si>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</si>
  <si>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</si>
  <si>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</si>
  <si>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</si>
  <si>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</si>
  <si>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</si>
  <si>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</si>
  <si>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</si>
  <si>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</si>
  <si>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</si>
  <si>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</si>
  <si>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</si>
  <si>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</si>
  <si>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</si>
  <si>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</si>
  <si>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</si>
  <si>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</si>
  <si>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</si>
  <si>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</si>
  <si>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</si>
  <si>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</si>
  <si>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</si>
  <si>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</si>
  <si>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</si>
  <si>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</si>
  <si>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</si>
  <si>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</si>
  <si>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</si>
  <si>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</si>
  <si>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</si>
  <si>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</si>
  <si>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</si>
  <si>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</si>
  <si>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</si>
  <si>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</si>
  <si>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</si>
  <si>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</si>
  <si>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</si>
  <si>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</si>
  <si>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</si>
  <si>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</si>
  <si>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</si>
  <si>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</si>
  <si>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</si>
  <si>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</si>
  <si>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</si>
  <si>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</si>
  <si>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</si>
  <si>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</si>
  <si>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</si>
  <si>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</si>
  <si>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</si>
  <si>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</si>
  <si>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</si>
  <si>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</si>
  <si>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</si>
  <si>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</si>
  <si>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</si>
  <si>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</si>
  <si>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</si>
  <si>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</si>
  <si>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</si>
  <si>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</si>
  <si>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</si>
  <si>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</si>
  <si>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</si>
  <si>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</si>
  <si>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</si>
  <si>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</si>
  <si>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</si>
  <si>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</si>
  <si>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</si>
  <si>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</si>
  <si>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</si>
  <si>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</si>
  <si>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</si>
  <si>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</si>
  <si>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</si>
  <si>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</si>
  <si>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</si>
  <si>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</si>
  <si>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</si>
  <si>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</si>
  <si>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</si>
  <si>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</si>
  <si>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</si>
  <si>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</si>
  <si>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</si>
  <si>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</si>
  <si>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</si>
  <si>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</si>
  <si>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</si>
  <si>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</si>
  <si>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</si>
  <si>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</si>
  <si>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</si>
  <si>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</si>
  <si>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</si>
  <si>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</si>
  <si>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</si>
  <si>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</si>
  <si>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</si>
  <si>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</si>
  <si>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</si>
  <si>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</si>
  <si>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</si>
  <si>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</si>
  <si>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</si>
  <si>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</si>
  <si>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</si>
  <si>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</si>
  <si>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</si>
  <si>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</si>
  <si>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</si>
  <si>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</si>
  <si>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</si>
  <si>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</si>
  <si>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</si>
  <si>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</si>
  <si>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</si>
  <si>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</si>
  <si>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</si>
  <si>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</si>
  <si>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</si>
  <si>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</si>
  <si>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</si>
  <si>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</si>
  <si>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</si>
  <si>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</si>
  <si>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</si>
  <si>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</si>
  <si>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</si>
  <si>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</si>
  <si>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</si>
  <si>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</si>
  <si>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</si>
  <si>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</si>
  <si>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</si>
  <si>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</si>
  <si>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</si>
  <si>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</si>
  <si>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</si>
  <si>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</si>
  <si>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</si>
  <si>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</si>
  <si>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</si>
  <si>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</si>
  <si>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</si>
  <si>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</si>
  <si>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</si>
  <si>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</si>
  <si>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</si>
  <si>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</si>
  <si>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</si>
  <si>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</si>
  <si>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</si>
  <si>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</si>
  <si>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</si>
  <si>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</si>
  <si>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</si>
  <si>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</si>
  <si>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</si>
  <si>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</si>
  <si>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</si>
  <si>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</si>
  <si>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</si>
  <si>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</si>
  <si>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</si>
  <si>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</si>
  <si>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</si>
  <si>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</si>
  <si>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</si>
  <si>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</si>
  <si>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</si>
  <si>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</si>
  <si>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</si>
  <si>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</si>
  <si>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</si>
  <si>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</si>
  <si>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</si>
  <si>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</si>
  <si>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</si>
  <si>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</si>
  <si>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</si>
  <si>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</si>
  <si>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</si>
  <si>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</si>
  <si>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</si>
  <si>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</si>
  <si>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</si>
  <si>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</si>
  <si>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</si>
  <si>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</si>
  <si>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</si>
  <si>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</si>
  <si>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</si>
  <si>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</si>
  <si>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</si>
  <si>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</si>
  <si>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</si>
  <si>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</si>
  <si>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</si>
  <si>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</si>
  <si>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</si>
  <si>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</si>
  <si>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</si>
  <si>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</si>
  <si>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</si>
  <si>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</si>
  <si>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</si>
  <si>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</si>
  <si>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</si>
  <si>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</si>
  <si>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</si>
  <si>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</si>
  <si>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</si>
  <si>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</si>
  <si>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</si>
  <si>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</si>
  <si>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</si>
  <si>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</si>
  <si>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</si>
  <si>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</si>
  <si>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</si>
  <si>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</si>
  <si>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</si>
  <si>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</si>
  <si>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</si>
  <si>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</si>
  <si>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</si>
  <si>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</si>
  <si>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</si>
  <si>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</si>
  <si>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</si>
  <si>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</si>
  <si>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</si>
  <si>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</si>
  <si>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</si>
  <si>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</si>
  <si>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</si>
  <si>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</si>
  <si>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</si>
  <si>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</si>
  <si>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</si>
  <si>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</si>
  <si>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</si>
  <si>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</si>
  <si>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</si>
  <si>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</si>
  <si>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</si>
  <si>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</si>
  <si>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</si>
  <si>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</si>
  <si>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</si>
  <si>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</si>
  <si>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</si>
  <si>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</si>
  <si>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</si>
  <si>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</si>
  <si>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</si>
  <si>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</si>
  <si>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</si>
  <si>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</si>
  <si>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</si>
  <si>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</si>
  <si>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</si>
  <si>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</si>
  <si>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</si>
  <si>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</si>
  <si>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</si>
  <si>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</si>
  <si>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</si>
  <si>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</si>
  <si>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</si>
  <si>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</si>
  <si>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</si>
  <si>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</si>
  <si>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</si>
  <si>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</si>
  <si>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</si>
  <si>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</si>
  <si>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</si>
  <si>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</si>
  <si>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</si>
  <si>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</si>
  <si>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</si>
  <si>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</si>
  <si>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</si>
  <si>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</si>
  <si>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</si>
  <si>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</si>
  <si>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</si>
  <si>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</si>
  <si>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</si>
  <si>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</si>
  <si>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</si>
  <si>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</si>
  <si>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</si>
  <si>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</si>
  <si>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</si>
  <si>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</si>
  <si>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</si>
  <si>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</si>
  <si>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</si>
  <si>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</si>
  <si>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</si>
  <si>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</si>
  <si>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</si>
  <si>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</si>
  <si>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</si>
  <si>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</si>
  <si>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</si>
  <si>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</si>
  <si>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</si>
  <si>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</si>
  <si>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</si>
  <si>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</si>
  <si>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</si>
  <si>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</si>
  <si>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</si>
  <si>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</si>
  <si>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</si>
  <si>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</si>
  <si>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</si>
  <si>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</si>
  <si>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</si>
  <si>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</si>
  <si>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</si>
  <si>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</si>
  <si>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</si>
  <si>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</si>
  <si>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</si>
  <si>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</si>
  <si>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</si>
  <si>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</si>
  <si>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</si>
  <si>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</si>
  <si>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</si>
  <si>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</si>
  <si>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</si>
  <si>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</si>
  <si>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</si>
  <si>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</si>
  <si>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</si>
  <si>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</si>
  <si>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</si>
  <si>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</si>
  <si>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</si>
  <si>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</si>
  <si>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</si>
  <si>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</si>
  <si>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</si>
  <si>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</si>
  <si>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</si>
  <si>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</si>
  <si>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</si>
  <si>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</si>
  <si>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</si>
  <si>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</si>
  <si>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</si>
  <si>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</si>
  <si>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</si>
  <si>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</si>
  <si>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</si>
  <si>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</si>
  <si>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</si>
  <si>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</si>
  <si>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</si>
  <si>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</si>
  <si>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</si>
  <si>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</si>
  <si>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</si>
  <si>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</si>
  <si>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</si>
  <si>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</si>
  <si>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</si>
  <si>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</si>
  <si>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</si>
  <si>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</si>
  <si>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</si>
  <si>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</si>
  <si>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</si>
  <si>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</si>
  <si>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</si>
  <si>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</si>
  <si>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</si>
  <si>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</si>
  <si>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</si>
  <si>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</si>
  <si>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</si>
  <si>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</si>
  <si>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</si>
  <si>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</si>
  <si>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</si>
  <si>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</si>
  <si>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</si>
  <si>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</si>
  <si>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</si>
  <si>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</si>
  <si>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</si>
  <si>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</si>
  <si>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</si>
  <si>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</si>
  <si>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</si>
  <si>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</si>
  <si>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</si>
  <si>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</si>
  <si>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</si>
  <si>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</si>
  <si>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</si>
  <si>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</si>
  <si>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</si>
  <si>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</si>
  <si>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</si>
  <si>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</si>
  <si>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</si>
  <si>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</si>
  <si>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</si>
  <si>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</si>
  <si>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</si>
  <si>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</si>
  <si>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</si>
  <si>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</si>
  <si>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</si>
  <si>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</si>
  <si>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</si>
  <si>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</si>
  <si>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</si>
  <si>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</si>
  <si>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</si>
  <si>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</si>
  <si>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</si>
  <si>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</si>
  <si>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</si>
  <si>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</si>
  <si>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</si>
  <si>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</si>
  <si>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</si>
  <si>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</si>
  <si>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</si>
  <si>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</si>
  <si>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</si>
  <si>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</si>
  <si>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</si>
  <si>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</si>
  <si>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</si>
  <si>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</si>
  <si>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</si>
  <si>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</si>
  <si>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</si>
  <si>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</si>
  <si>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</si>
  <si>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</si>
  <si>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</si>
  <si>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</si>
  <si>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</si>
  <si>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</si>
  <si>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</si>
  <si>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</si>
  <si>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</si>
  <si>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</si>
  <si>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</si>
  <si>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</si>
  <si>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</si>
  <si>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</si>
  <si>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</si>
  <si>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</si>
  <si>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</si>
  <si>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</si>
  <si>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</si>
  <si>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</si>
  <si>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</si>
  <si>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</si>
  <si>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</si>
  <si>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</si>
  <si>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</si>
  <si>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</si>
  <si>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</si>
  <si>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</si>
  <si>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</si>
  <si>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</si>
  <si>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</si>
  <si>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</si>
  <si>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</si>
  <si>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</si>
  <si>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</si>
  <si>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</si>
  <si>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</si>
  <si>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</si>
  <si>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</si>
  <si>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</si>
  <si>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</si>
  <si>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</si>
  <si>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</si>
  <si>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</si>
  <si>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</si>
  <si>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</si>
  <si>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</si>
  <si>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</si>
  <si>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</si>
  <si>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</si>
  <si>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</si>
  <si>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</si>
  <si>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</si>
  <si>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</si>
  <si>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</si>
  <si>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</si>
  <si>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</si>
  <si>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</si>
  <si>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</si>
  <si>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</si>
  <si>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</si>
  <si>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</si>
  <si>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</si>
  <si>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</si>
  <si>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</si>
  <si>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</si>
  <si>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</si>
  <si>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</si>
  <si>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</si>
  <si>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</si>
  <si>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</si>
  <si>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</si>
  <si>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</si>
  <si>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</si>
  <si>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</si>
  <si>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</si>
  <si>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</si>
  <si>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</si>
  <si>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</si>
  <si>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</si>
  <si>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</si>
  <si>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</si>
  <si>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</si>
  <si>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</si>
  <si>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</si>
  <si>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</si>
  <si>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</si>
  <si>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</si>
  <si>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</si>
  <si>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</si>
  <si>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</si>
  <si>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</si>
  <si>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</si>
  <si>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</si>
  <si>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</si>
  <si>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</si>
  <si>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</si>
  <si>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</si>
  <si>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</si>
  <si>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</si>
  <si>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</si>
  <si>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</si>
  <si>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</si>
  <si>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</si>
  <si>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</si>
  <si>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</si>
  <si>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</si>
  <si>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</si>
  <si>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</si>
  <si>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</si>
  <si>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</si>
  <si>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</si>
  <si>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</si>
  <si>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</si>
  <si>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</si>
  <si>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</si>
  <si>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</si>
  <si>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</si>
  <si>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</si>
  <si>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</si>
  <si>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</si>
  <si>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</si>
  <si>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</si>
  <si>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</si>
  <si>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</si>
  <si>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</si>
  <si>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</si>
  <si>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</si>
  <si>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</si>
  <si>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</si>
  <si>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</si>
  <si>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</si>
  <si>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</si>
  <si>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</si>
  <si>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</si>
  <si>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</si>
  <si>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</si>
  <si>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</si>
  <si>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</si>
  <si>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</si>
  <si>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</si>
  <si>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</si>
  <si>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</si>
  <si>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</si>
  <si>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</si>
  <si>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</si>
  <si>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</si>
  <si>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</si>
  <si>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</si>
  <si>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</si>
  <si>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</si>
  <si>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</si>
  <si>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</si>
  <si>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</si>
  <si>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</si>
  <si>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</si>
  <si>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</si>
  <si>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</si>
  <si>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</si>
  <si>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</si>
  <si>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</si>
  <si>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</si>
  <si>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</si>
  <si>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</si>
  <si>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</si>
  <si>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</si>
  <si>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</si>
  <si>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</si>
  <si>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</si>
  <si>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</si>
  <si>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</si>
  <si>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</si>
  <si>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</si>
  <si>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</si>
  <si>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</si>
  <si>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</si>
  <si>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</si>
  <si>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</si>
  <si>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</si>
  <si>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</si>
  <si>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</si>
  <si>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</si>
  <si>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</si>
  <si>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</si>
  <si>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</si>
  <si>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</si>
  <si>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</si>
  <si>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</si>
  <si>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</si>
  <si>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</si>
  <si>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</si>
  <si>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</si>
  <si>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</si>
  <si>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</si>
  <si>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</si>
  <si>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</si>
  <si>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</si>
  <si>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</si>
  <si>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</si>
  <si>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</si>
  <si>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</si>
  <si>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</si>
  <si>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</si>
  <si>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</si>
  <si>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</si>
  <si>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</si>
  <si>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</si>
  <si>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</si>
  <si>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</si>
  <si>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</si>
  <si>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</si>
  <si>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</si>
  <si>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</si>
  <si>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</si>
  <si>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</si>
  <si>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</si>
  <si>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</si>
  <si>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</si>
  <si>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</si>
  <si>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</si>
  <si>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</si>
  <si>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</si>
  <si>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</si>
  <si>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</si>
  <si>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</si>
  <si>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</si>
  <si>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</si>
  <si>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</si>
  <si>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</si>
  <si>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</si>
  <si>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</si>
  <si>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</si>
  <si>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</si>
  <si>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</si>
  <si>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</si>
  <si>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</si>
  <si>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</si>
  <si>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</si>
  <si>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</si>
  <si>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</si>
  <si>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</si>
  <si>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</si>
  <si>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</si>
  <si>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</si>
  <si>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</si>
  <si>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</si>
  <si>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</si>
  <si>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</si>
  <si>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</si>
  <si>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</si>
  <si>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</si>
  <si>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</si>
  <si>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</si>
  <si>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</si>
  <si>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</si>
  <si>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</si>
  <si>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</si>
  <si>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</si>
  <si>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</si>
  <si>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</si>
  <si>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</si>
  <si>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</si>
  <si>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</si>
  <si>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</si>
  <si>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</si>
  <si>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</si>
  <si>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</si>
  <si>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</si>
  <si>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</si>
  <si>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</si>
  <si>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</si>
  <si>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</si>
  <si>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</si>
  <si>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</si>
  <si>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</si>
  <si>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</si>
  <si>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</si>
  <si>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</si>
  <si>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</si>
  <si>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</si>
  <si>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</si>
  <si>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</si>
  <si>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</si>
  <si>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</si>
  <si>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</si>
  <si>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</si>
  <si>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</si>
  <si>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</si>
  <si>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</si>
  <si>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</si>
  <si>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</si>
  <si>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</si>
  <si>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</si>
  <si>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</si>
  <si>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</si>
  <si>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</si>
  <si>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</si>
  <si>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</si>
  <si>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</si>
  <si>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</si>
  <si>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</si>
  <si>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</si>
  <si>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</si>
  <si>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</si>
  <si>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</si>
  <si>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</si>
  <si>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</si>
  <si>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</si>
  <si>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</si>
  <si>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</si>
  <si>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</si>
  <si>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</si>
  <si>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</si>
  <si>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</si>
  <si>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</si>
  <si>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</si>
  <si>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</si>
  <si>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</si>
  <si>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</si>
  <si>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</si>
  <si>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</si>
  <si>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</si>
  <si>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</si>
  <si>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</si>
  <si>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</si>
  <si>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</si>
  <si>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</si>
  <si>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</si>
  <si>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</si>
  <si>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</si>
  <si>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</si>
  <si>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</si>
  <si>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</si>
  <si>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</si>
  <si>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</si>
  <si>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</si>
  <si>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</si>
  <si>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</si>
  <si>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</si>
  <si>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</si>
  <si>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</si>
  <si>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</si>
  <si>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</si>
  <si>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</si>
  <si>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</si>
  <si>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</si>
  <si>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</si>
  <si>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</si>
  <si>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</si>
  <si>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</si>
  <si>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</si>
  <si>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</si>
  <si>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</si>
  <si>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</si>
  <si>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</si>
  <si>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</si>
  <si>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</si>
  <si>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</si>
  <si>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</si>
  <si>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</si>
  <si>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</si>
  <si>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</si>
  <si>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</si>
  <si>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</si>
  <si>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</si>
  <si>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</si>
  <si>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</si>
  <si>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</si>
  <si>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</si>
  <si>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</si>
  <si>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</si>
  <si>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</si>
  <si>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</si>
  <si>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</si>
  <si>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</si>
  <si>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</si>
  <si>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</si>
  <si>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</si>
  <si>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</si>
  <si>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</si>
  <si>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</si>
  <si>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</si>
  <si>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</si>
  <si>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</si>
  <si>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</si>
  <si>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</si>
  <si>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</si>
  <si>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</si>
  <si>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</si>
  <si>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</si>
  <si>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</si>
  <si>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</si>
  <si>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</si>
  <si>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</si>
  <si>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</si>
  <si>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</si>
  <si>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</si>
  <si>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</si>
  <si>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</si>
  <si>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</si>
  <si>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</si>
  <si>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</si>
  <si>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</si>
  <si>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</si>
  <si>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</si>
  <si>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</si>
  <si>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</si>
  <si>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</si>
  <si>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</si>
  <si>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</si>
  <si>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</si>
  <si>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</si>
  <si>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</si>
  <si>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</si>
  <si>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</si>
  <si>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</si>
  <si>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</si>
  <si>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</si>
  <si>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</si>
  <si>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</si>
  <si>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</si>
  <si>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</si>
  <si>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</si>
  <si>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</si>
  <si>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</si>
  <si>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</si>
  <si>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</si>
  <si>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</si>
  <si>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</si>
  <si>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</si>
  <si>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</si>
  <si>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</si>
  <si>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</si>
  <si>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</si>
  <si>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</si>
  <si>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</si>
  <si>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</si>
  <si>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</si>
  <si>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</si>
  <si>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</si>
  <si>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</si>
  <si>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</si>
  <si>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</si>
  <si>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</si>
  <si>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</si>
  <si>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</si>
  <si>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</si>
  <si>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</si>
  <si>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</si>
  <si>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</si>
  <si>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</si>
  <si>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</si>
  <si>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</si>
  <si>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</si>
  <si>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</si>
  <si>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</si>
  <si>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</si>
  <si>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</si>
  <si>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</si>
  <si>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</si>
  <si>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</si>
  <si>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</si>
  <si>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</si>
  <si>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</si>
  <si>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</si>
  <si>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</si>
  <si>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</si>
  <si>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</si>
  <si>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</si>
  <si>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</si>
  <si>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</si>
  <si>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</si>
  <si>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</si>
  <si>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</si>
  <si>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</si>
  <si>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</si>
  <si>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</si>
  <si>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</si>
  <si>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</si>
  <si>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</si>
  <si>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</si>
  <si>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</si>
  <si>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</si>
  <si>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</si>
  <si>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</si>
  <si>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</si>
  <si>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</si>
  <si>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</si>
  <si>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</si>
  <si>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</si>
  <si>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</si>
  <si>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</si>
  <si>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</si>
  <si>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</si>
  <si>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</si>
  <si>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</si>
  <si>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</si>
  <si>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</si>
  <si>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</si>
  <si>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</si>
  <si>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</si>
  <si>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</si>
  <si>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</si>
  <si>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</si>
  <si>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</si>
  <si>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</si>
  <si>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</si>
  <si>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</si>
  <si>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</si>
  <si>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</si>
  <si>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</si>
  <si>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</si>
  <si>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</si>
  <si>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</si>
  <si>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</si>
  <si>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</si>
  <si>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</si>
  <si>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</si>
  <si>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</si>
  <si>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</si>
  <si>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</si>
  <si>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</si>
  <si>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</si>
  <si>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</si>
  <si>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</si>
  <si>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</si>
  <si>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</si>
  <si>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</si>
  <si>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</si>
  <si>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</si>
  <si>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</si>
  <si>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</si>
  <si>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</si>
  <si>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</si>
  <si>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</si>
  <si>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</si>
  <si>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</si>
  <si>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</si>
  <si>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</si>
  <si>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</si>
  <si>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</si>
  <si>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</si>
  <si>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</si>
  <si>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</si>
  <si>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</si>
  <si>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</si>
  <si>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</si>
  <si>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</si>
  <si>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</si>
  <si>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</si>
  <si>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</si>
  <si>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</si>
  <si>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</si>
  <si>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</si>
  <si>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</si>
  <si>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</si>
  <si>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</si>
  <si>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</si>
  <si>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</si>
  <si>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</si>
  <si>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</si>
  <si>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</si>
  <si>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</si>
  <si>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</si>
  <si>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</si>
  <si>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</si>
  <si>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</si>
  <si>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</si>
  <si>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</si>
  <si>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</si>
  <si>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</si>
  <si>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</si>
  <si>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</si>
  <si>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</si>
  <si>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</si>
  <si>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</si>
  <si>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</si>
  <si>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</si>
  <si>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</si>
  <si>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</si>
  <si>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</si>
  <si>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</si>
  <si>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</si>
  <si>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</si>
  <si>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</si>
  <si>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</si>
  <si>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</si>
  <si>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</si>
  <si>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</si>
  <si>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</si>
  <si>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</si>
  <si>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</si>
  <si>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</si>
  <si>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</si>
  <si>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</si>
  <si>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</si>
  <si>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</si>
  <si>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</si>
  <si>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</si>
  <si>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</si>
  <si>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</si>
  <si>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</si>
  <si>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</si>
  <si>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</si>
  <si>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</si>
  <si>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</si>
  <si>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</si>
  <si>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</si>
  <si>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</si>
  <si>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</si>
  <si>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</si>
  <si>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</si>
  <si>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</si>
  <si>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</si>
  <si>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</si>
  <si>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</si>
  <si>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</si>
  <si>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</si>
  <si>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</si>
  <si>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</si>
  <si>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</si>
  <si>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</si>
  <si>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</si>
  <si>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</si>
  <si>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</si>
  <si>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</si>
  <si>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</si>
  <si>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</si>
  <si>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</si>
  <si>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</si>
  <si>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</si>
  <si>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</si>
  <si>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</si>
  <si>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</si>
  <si>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</si>
  <si>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</si>
  <si>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</si>
  <si>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</si>
  <si>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</si>
  <si>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</si>
  <si>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</si>
  <si>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</si>
  <si>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</si>
  <si>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</si>
  <si>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</si>
  <si>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</si>
  <si>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</si>
  <si>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</si>
  <si>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</si>
  <si>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</si>
  <si>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</si>
  <si>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</si>
  <si>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</si>
  <si>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</si>
  <si>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</si>
  <si>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</si>
  <si>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</si>
  <si>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</si>
  <si>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</si>
  <si>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</si>
  <si>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</si>
  <si>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</si>
  <si>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</si>
  <si>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</si>
  <si>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</si>
  <si>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</si>
  <si>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</si>
  <si>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</si>
  <si>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</si>
  <si>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</si>
  <si>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</si>
  <si>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</si>
  <si>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</si>
  <si>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</si>
  <si>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</si>
  <si>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</si>
  <si>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</si>
  <si>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</si>
  <si>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</si>
  <si>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</si>
  <si>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</si>
  <si>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</si>
  <si>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</si>
  <si>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</si>
  <si>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</si>
  <si>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</si>
  <si>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</si>
  <si>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</si>
  <si>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</si>
  <si>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</si>
  <si>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</si>
  <si>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</si>
  <si>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</si>
  <si>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</si>
  <si>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</si>
  <si>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</si>
  <si>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</si>
  <si>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</si>
  <si>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</si>
  <si>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</si>
  <si>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</si>
  <si>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</si>
  <si>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</si>
  <si>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</si>
  <si>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</si>
  <si>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</si>
  <si>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</si>
  <si>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</si>
  <si>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</si>
  <si>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</si>
  <si>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</si>
  <si>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</si>
  <si>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</si>
  <si>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</si>
  <si>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</si>
  <si>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</si>
  <si>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</si>
  <si>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</si>
  <si>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</si>
  <si>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</si>
  <si>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</si>
  <si>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</si>
  <si>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</si>
  <si>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</si>
  <si>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</si>
  <si>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</si>
  <si>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</si>
  <si>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</si>
  <si>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</si>
  <si>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</si>
  <si>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</si>
  <si>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</si>
  <si>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</si>
  <si>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</si>
  <si>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</si>
  <si>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</si>
  <si>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</si>
  <si>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</si>
  <si>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</si>
  <si>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</si>
  <si>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</si>
  <si>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</si>
  <si>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</si>
  <si>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</si>
  <si>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</si>
  <si>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</si>
  <si>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</si>
  <si>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</si>
  <si>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</si>
  <si>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</si>
  <si>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</si>
  <si>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</si>
  <si>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</si>
  <si>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</si>
  <si>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</si>
  <si>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</si>
  <si>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</si>
  <si>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</si>
  <si>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</si>
  <si>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</si>
  <si>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</si>
  <si>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</si>
  <si>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</si>
  <si>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</si>
  <si>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</si>
  <si>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</si>
  <si>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</si>
  <si>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</si>
  <si>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</si>
  <si>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</si>
  <si>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</si>
  <si>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</si>
  <si>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</si>
  <si>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</si>
  <si>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</si>
  <si>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</si>
  <si>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</si>
  <si>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</si>
  <si>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</si>
  <si>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</si>
  <si>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</si>
  <si>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</si>
  <si>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</si>
  <si>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</si>
  <si>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</si>
  <si>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</si>
  <si>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</si>
  <si>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</si>
  <si>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</si>
  <si>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</si>
  <si>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</si>
  <si>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</si>
  <si>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</si>
  <si>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</si>
  <si>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</si>
  <si>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</si>
  <si>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</si>
  <si>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</si>
  <si>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</si>
  <si>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</si>
  <si>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</si>
  <si>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</si>
  <si>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</si>
  <si>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</si>
  <si>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</si>
  <si>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</si>
  <si>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</si>
  <si>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</si>
  <si>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</si>
  <si>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</si>
  <si>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</si>
  <si>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</si>
  <si>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</si>
  <si>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</si>
  <si>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</si>
  <si>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</si>
  <si>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</si>
  <si>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</si>
  <si>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</si>
  <si>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</si>
  <si>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</si>
  <si>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</si>
  <si>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</si>
  <si>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</si>
  <si>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</si>
  <si>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</si>
  <si>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</si>
  <si>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</si>
  <si>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</si>
  <si>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</si>
  <si>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</si>
  <si>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</si>
  <si>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</si>
  <si>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</si>
  <si>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</si>
  <si>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</si>
  <si>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</si>
  <si>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</si>
  <si>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</si>
  <si>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</si>
  <si>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</si>
  <si>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</si>
  <si>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</si>
  <si>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</si>
  <si>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</si>
  <si>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</si>
  <si>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</si>
  <si>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</si>
  <si>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</si>
  <si>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</si>
  <si>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</si>
  <si>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</si>
  <si>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</si>
  <si>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</si>
  <si>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</si>
  <si>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</si>
  <si>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</si>
  <si>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</si>
  <si>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</si>
  <si>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</si>
  <si>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</si>
  <si>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</si>
  <si>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</si>
  <si>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</si>
  <si>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</si>
  <si>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</si>
  <si>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</si>
  <si>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</si>
  <si>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</si>
  <si>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</si>
  <si>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</si>
  <si>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</si>
  <si>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</si>
  <si>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</si>
  <si>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</si>
  <si>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</si>
  <si>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</si>
  <si>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</si>
  <si>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</si>
  <si>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</si>
  <si>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</si>
  <si>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</si>
  <si>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</si>
  <si>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</si>
  <si>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</si>
  <si>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</si>
  <si>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</si>
  <si>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</si>
  <si>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</si>
  <si>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</si>
  <si>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</si>
  <si>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</si>
  <si>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</si>
  <si>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</si>
  <si>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</si>
  <si>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</si>
  <si>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</si>
  <si>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</si>
  <si>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</si>
  <si>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</si>
  <si>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</si>
  <si>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</si>
  <si>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</si>
  <si>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</si>
  <si>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</si>
  <si>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</si>
  <si>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</si>
  <si>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</si>
  <si>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</si>
  <si>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</si>
  <si>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</si>
  <si>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</si>
  <si>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</si>
  <si>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</si>
  <si>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</si>
  <si>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</si>
  <si>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</si>
  <si>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</si>
  <si>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</si>
  <si>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</si>
  <si>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</si>
  <si>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</si>
  <si>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</si>
  <si>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</si>
  <si>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</si>
  <si>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</si>
  <si>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</si>
  <si>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</si>
  <si>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</si>
  <si>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</si>
  <si>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</si>
  <si>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</si>
  <si>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</si>
  <si>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</si>
  <si>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</si>
  <si>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</si>
  <si>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</si>
  <si>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</si>
  <si>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</si>
  <si>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</si>
  <si>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</si>
  <si>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</si>
  <si>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</si>
  <si>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</si>
  <si>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</si>
  <si>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</si>
  <si>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</si>
  <si>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</si>
  <si>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</si>
  <si>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</si>
  <si>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</si>
  <si>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</si>
  <si>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</si>
  <si>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</si>
  <si>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</si>
  <si>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</si>
  <si>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</si>
  <si>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</si>
  <si>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</si>
  <si>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</si>
  <si>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</si>
  <si>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</si>
  <si>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</si>
  <si>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</si>
  <si>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</si>
  <si>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</si>
  <si>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</si>
  <si>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</si>
  <si>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</si>
  <si>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</si>
  <si>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</si>
  <si>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</si>
  <si>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</si>
  <si>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</si>
  <si>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</si>
  <si>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</si>
  <si>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</si>
  <si>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</si>
  <si>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</si>
  <si>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</si>
  <si>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</si>
  <si>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</si>
  <si>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</si>
  <si>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</si>
  <si>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</si>
  <si>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</si>
  <si>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</si>
  <si>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</si>
  <si>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</si>
  <si>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</si>
  <si>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</si>
  <si>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</si>
  <si>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</si>
  <si>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</si>
  <si>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</si>
  <si>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</si>
  <si>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</si>
  <si>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</si>
  <si>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</si>
  <si>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</si>
  <si>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</si>
  <si>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</si>
  <si>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</si>
  <si>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</si>
  <si>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</si>
  <si>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</si>
  <si>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</si>
  <si>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</si>
  <si>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</si>
  <si>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</si>
  <si>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</si>
  <si>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</si>
  <si>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</si>
  <si>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</si>
  <si>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</si>
  <si>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</si>
  <si>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</si>
  <si>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</si>
  <si>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</si>
  <si>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</si>
  <si>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</si>
  <si>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</si>
  <si>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</si>
  <si>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</si>
  <si>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</si>
  <si>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</si>
  <si>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</si>
  <si>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</si>
  <si>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</si>
  <si>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</si>
  <si>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</si>
  <si>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</si>
  <si>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</si>
  <si>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</si>
  <si>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</si>
  <si>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</si>
  <si>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</si>
  <si>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</si>
  <si>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</si>
  <si>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</si>
  <si>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</si>
  <si>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</si>
  <si>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</si>
  <si>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</si>
  <si>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</si>
  <si>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</si>
  <si>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</si>
  <si>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</si>
  <si>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</si>
  <si>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</si>
  <si>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</si>
  <si>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</si>
  <si>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</si>
  <si>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</si>
  <si>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</si>
  <si>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</si>
  <si>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</si>
  <si>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</si>
  <si>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</si>
  <si>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</si>
  <si>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</si>
  <si>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</si>
  <si>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</si>
  <si>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</si>
  <si>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</si>
  <si>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</si>
  <si>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</si>
  <si>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</si>
  <si>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</si>
  <si>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</si>
  <si>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</si>
  <si>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</si>
  <si>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</si>
  <si>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</si>
  <si>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</si>
  <si>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</si>
  <si>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</si>
  <si>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</si>
  <si>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</si>
  <si>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</si>
  <si>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</si>
  <si>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</si>
  <si>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</si>
  <si>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</si>
  <si>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</si>
  <si>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</si>
  <si>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</si>
  <si>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</si>
  <si>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</si>
  <si>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</si>
  <si>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</si>
  <si>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</si>
  <si>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</si>
  <si>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</si>
  <si>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</si>
  <si>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</si>
  <si>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</si>
  <si>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</si>
  <si>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</si>
  <si>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</si>
  <si>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</si>
  <si>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</si>
  <si>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</si>
  <si>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</si>
  <si>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</si>
  <si>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</si>
  <si>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</si>
  <si>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</si>
  <si>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</si>
  <si>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</si>
  <si>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</si>
  <si>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</si>
  <si>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</si>
  <si>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</si>
  <si>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</si>
  <si>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</si>
  <si>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</si>
  <si>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</si>
  <si>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</si>
  <si>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</si>
  <si>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</si>
  <si>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</si>
  <si>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</si>
  <si>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</si>
  <si>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</si>
  <si>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</si>
  <si>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</si>
  <si>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</si>
  <si>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</si>
  <si>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</si>
  <si>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</si>
  <si>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</si>
  <si>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</si>
  <si>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</si>
  <si>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</si>
  <si>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</si>
  <si>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</si>
  <si>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</si>
  <si>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</si>
  <si>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</si>
  <si>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</si>
  <si>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</si>
  <si>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</si>
  <si>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</si>
  <si>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</si>
  <si>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</si>
  <si>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</si>
  <si>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</si>
  <si>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</si>
  <si>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</si>
  <si>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</si>
  <si>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</si>
  <si>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</si>
  <si>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</si>
  <si>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</si>
  <si>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</si>
  <si>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</si>
  <si>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</si>
  <si>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</si>
  <si>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</si>
  <si>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</si>
  <si>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</si>
  <si>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</si>
  <si>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</si>
  <si>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</si>
  <si>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</si>
  <si>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</si>
  <si>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</si>
  <si>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</si>
  <si>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</si>
  <si>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</si>
  <si>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</si>
  <si>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</si>
  <si>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</si>
  <si>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</si>
  <si>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</si>
  <si>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</si>
  <si>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</si>
  <si>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</si>
  <si>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</si>
  <si>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</si>
  <si>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</si>
  <si>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</si>
  <si>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</si>
  <si>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</si>
  <si>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</si>
  <si>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</si>
  <si>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</si>
  <si>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</si>
  <si>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</si>
  <si>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</si>
  <si>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</si>
  <si>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</si>
  <si>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</si>
  <si>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</si>
  <si>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</si>
  <si>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</si>
  <si>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</si>
  <si>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</si>
  <si>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</si>
  <si>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</si>
  <si>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</si>
  <si>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</si>
  <si>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</si>
  <si>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</si>
  <si>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</si>
  <si>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</si>
  <si>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</si>
  <si>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</si>
  <si>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</si>
  <si>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</si>
  <si>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</si>
  <si>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</si>
  <si>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</si>
  <si>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</si>
  <si>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</si>
  <si>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</si>
  <si>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</si>
  <si>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</si>
  <si>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</si>
  <si>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</si>
  <si>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</si>
  <si>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</si>
  <si>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</si>
  <si>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</si>
  <si>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</si>
  <si>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</si>
  <si>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</si>
  <si>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</si>
  <si>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</si>
  <si>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</si>
  <si>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</si>
  <si>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</si>
  <si>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</si>
  <si>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</si>
  <si>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</si>
  <si>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</si>
  <si>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</si>
  <si>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</si>
  <si>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</si>
  <si>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</si>
  <si>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</si>
  <si>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</si>
  <si>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</si>
  <si>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</si>
  <si>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</si>
  <si>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</si>
  <si>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</si>
  <si>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</si>
  <si>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</si>
  <si>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</si>
  <si>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</si>
  <si>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</si>
  <si>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</si>
  <si>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</si>
  <si>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</si>
  <si>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</si>
  <si>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</si>
  <si>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</si>
  <si>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</si>
  <si>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</si>
  <si>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</si>
  <si>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</si>
  <si>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</si>
  <si>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</si>
  <si>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</si>
  <si>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</si>
  <si>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</si>
  <si>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</si>
  <si>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</si>
  <si>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</si>
  <si>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</si>
  <si>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</si>
  <si>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</si>
  <si>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</si>
  <si>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</si>
  <si>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</si>
  <si>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</si>
  <si>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</si>
  <si>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</si>
  <si>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</si>
  <si>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</si>
  <si>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</si>
  <si>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</si>
  <si>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</si>
  <si>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</si>
  <si>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</si>
  <si>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</si>
  <si>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</si>
  <si>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</si>
  <si>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</si>
  <si>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</si>
  <si>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</si>
  <si>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</si>
  <si>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</si>
  <si>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</si>
  <si>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</si>
  <si>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</si>
  <si>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</si>
  <si>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</si>
  <si>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</si>
  <si>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</si>
  <si>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</si>
  <si>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</si>
  <si>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</si>
  <si>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</si>
  <si>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</si>
  <si>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</si>
  <si>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</si>
  <si>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</si>
  <si>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</si>
  <si>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</si>
  <si>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</si>
  <si>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</si>
  <si>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</si>
  <si>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</si>
  <si>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</si>
  <si>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</si>
  <si>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</si>
  <si>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</si>
  <si>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</si>
  <si>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</si>
  <si>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</si>
  <si>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</si>
  <si>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</si>
  <si>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</si>
  <si>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</si>
  <si>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</si>
  <si>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</si>
  <si>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</si>
  <si>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</si>
  <si>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</si>
  <si>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</si>
  <si>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</si>
  <si>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</si>
  <si>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</si>
  <si>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</si>
  <si>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</si>
  <si>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</si>
  <si>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</si>
  <si>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</si>
  <si>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</si>
  <si>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</si>
  <si>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</si>
  <si>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</si>
  <si>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</si>
  <si>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</si>
  <si>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</si>
  <si>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</si>
  <si>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</si>
  <si>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</si>
  <si>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</si>
  <si>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</si>
  <si>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</si>
  <si>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</si>
  <si>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</si>
  <si>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</si>
  <si>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</si>
  <si>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</si>
  <si>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</si>
  <si>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</si>
  <si>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</si>
  <si>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</si>
  <si>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</si>
  <si>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</si>
  <si>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</si>
  <si>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</si>
  <si>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</si>
  <si>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</si>
  <si>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</si>
  <si>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</si>
  <si>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</si>
  <si>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</si>
  <si>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</si>
  <si>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</si>
  <si>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</si>
  <si>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</si>
  <si>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</si>
  <si>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</si>
  <si>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</si>
  <si>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</si>
  <si>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</si>
  <si>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</si>
  <si>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</si>
  <si>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</si>
  <si>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</si>
  <si>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</si>
  <si>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</si>
  <si>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</si>
  <si>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</si>
  <si>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</si>
  <si>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</si>
  <si>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</si>
  <si>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</si>
  <si>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</si>
  <si>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</si>
  <si>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</si>
  <si>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</si>
  <si>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</si>
  <si>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</si>
  <si>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</si>
  <si>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</si>
  <si>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</si>
  <si>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</si>
  <si>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</si>
  <si>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</si>
  <si>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</si>
  <si>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</si>
  <si>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</si>
  <si>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</si>
  <si>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</si>
  <si>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</si>
  <si>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</si>
  <si>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</si>
  <si>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</si>
  <si>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</si>
  <si>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</si>
  <si>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</si>
  <si>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</si>
  <si>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</si>
  <si>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</si>
  <si>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</si>
  <si>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</si>
  <si>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</si>
  <si>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</si>
  <si>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</si>
  <si>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</si>
  <si>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</si>
  <si>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</si>
  <si>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</si>
  <si>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</si>
  <si>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</si>
  <si>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</si>
  <si>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</si>
  <si>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</si>
  <si>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</si>
  <si>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</si>
  <si>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</si>
  <si>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</si>
  <si>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</si>
  <si>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</si>
  <si>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</si>
  <si>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</si>
  <si>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</si>
  <si>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</si>
  <si>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</si>
  <si>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</si>
  <si>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</si>
  <si>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</si>
  <si>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</si>
  <si>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</si>
  <si>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</si>
  <si>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</si>
  <si>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</si>
  <si>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</si>
  <si>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</si>
  <si>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</si>
  <si>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</si>
  <si>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</si>
  <si>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</si>
  <si>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</si>
  <si>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</si>
  <si>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</si>
  <si>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</si>
  <si>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</si>
  <si>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</si>
  <si>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</si>
  <si>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</si>
  <si>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</si>
  <si>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</si>
  <si>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</si>
  <si>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</si>
  <si>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</si>
  <si>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</si>
  <si>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</si>
  <si>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</si>
  <si>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</si>
  <si>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</si>
  <si>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</si>
  <si>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</si>
  <si>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</si>
  <si>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</si>
  <si>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</si>
  <si>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</si>
  <si>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</si>
  <si>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</si>
  <si>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</si>
  <si>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</si>
  <si>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</si>
  <si>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</si>
  <si>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</si>
  <si>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</si>
  <si>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</si>
  <si>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</si>
  <si>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</si>
  <si>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</si>
  <si>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</si>
  <si>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</si>
  <si>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</si>
  <si>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</si>
  <si>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</si>
  <si>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</si>
  <si>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</si>
  <si>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</si>
  <si>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</si>
  <si>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</si>
  <si>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</si>
  <si>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</si>
  <si>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</si>
  <si>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</si>
  <si>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</si>
  <si>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</si>
  <si>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</si>
  <si>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</si>
  <si>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</si>
  <si>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</si>
  <si>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</si>
  <si>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</si>
  <si>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</si>
  <si>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</si>
  <si>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</si>
  <si>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</si>
  <si>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</si>
  <si>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</si>
  <si>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</si>
  <si>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</si>
  <si>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</si>
  <si>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</si>
  <si>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</si>
  <si>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</si>
  <si>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</si>
  <si>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</si>
  <si>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</si>
  <si>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</si>
  <si>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</si>
  <si>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</si>
  <si>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</si>
  <si>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</si>
  <si>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</si>
  <si>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</si>
  <si>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</si>
  <si>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</si>
  <si>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</si>
  <si>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</si>
  <si>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</si>
  <si>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</si>
  <si>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</si>
  <si>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</si>
  <si>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</si>
  <si>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</si>
  <si>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</si>
  <si>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</si>
  <si>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</si>
  <si>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</si>
  <si>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</si>
  <si>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</si>
  <si>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</si>
  <si>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</si>
  <si>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</si>
  <si>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</si>
  <si>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</si>
  <si>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</si>
  <si>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</si>
  <si>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</si>
  <si>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</si>
  <si>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</si>
  <si>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</si>
  <si>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</si>
  <si>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</si>
  <si>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</si>
  <si>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</si>
  <si>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</si>
  <si>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</si>
  <si>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</si>
  <si>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</si>
  <si>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</si>
  <si>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</si>
  <si>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</si>
  <si>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</si>
  <si>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</si>
  <si>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</si>
  <si>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</si>
  <si>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</si>
  <si>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</si>
  <si>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</si>
  <si>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</si>
  <si>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</si>
  <si>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</si>
  <si>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</si>
  <si>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</si>
  <si>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</si>
  <si>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</si>
  <si>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</si>
  <si>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</si>
  <si>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</si>
  <si>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</si>
  <si>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</si>
  <si>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</si>
  <si>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</si>
  <si>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</si>
  <si>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</si>
  <si>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</si>
  <si>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</si>
  <si>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</si>
  <si>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</si>
  <si>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</si>
  <si>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</si>
  <si>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</si>
  <si>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</si>
  <si>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</si>
  <si>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</si>
  <si>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</si>
  <si>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</si>
  <si>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</si>
  <si>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</si>
  <si>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</si>
  <si>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</si>
  <si>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</si>
  <si>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</si>
  <si>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</si>
  <si>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</si>
  <si>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</si>
  <si>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</si>
  <si>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</si>
  <si>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</si>
  <si>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</si>
  <si>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</si>
  <si>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</si>
  <si>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</si>
  <si>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</si>
  <si>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</si>
  <si>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</si>
  <si>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</si>
  <si>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</si>
  <si>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</si>
  <si>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</si>
  <si>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</si>
  <si>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</si>
  <si>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</si>
  <si>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</si>
  <si>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</si>
  <si>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</si>
  <si>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</si>
  <si>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</si>
  <si>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</si>
  <si>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</si>
  <si>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</si>
  <si>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</si>
  <si>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</si>
  <si>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</si>
  <si>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</si>
  <si>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</si>
  <si>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</si>
  <si>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</si>
  <si>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</si>
  <si>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</si>
  <si>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</si>
  <si>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</si>
  <si>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</si>
  <si>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</si>
  <si>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</si>
  <si>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</si>
  <si>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</si>
  <si>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</si>
  <si>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</si>
  <si>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</si>
  <si>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</si>
  <si>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</si>
  <si>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</si>
  <si>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</si>
  <si>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</si>
  <si>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</si>
  <si>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</si>
  <si>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</si>
  <si>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</si>
  <si>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</si>
  <si>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</si>
  <si>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</si>
  <si>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</si>
  <si>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</si>
  <si>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</si>
  <si>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</si>
  <si>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</si>
  <si>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</si>
  <si>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</si>
  <si>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</si>
  <si>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</si>
  <si>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</si>
  <si>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</si>
  <si>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</si>
  <si>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</si>
  <si>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</si>
  <si>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</si>
  <si>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</si>
  <si>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</si>
  <si>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</si>
  <si>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</si>
  <si>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</si>
  <si>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</si>
  <si>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</si>
  <si>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</si>
  <si>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</si>
  <si>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</si>
  <si>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</si>
  <si>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</si>
  <si>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</si>
  <si>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</si>
  <si>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</si>
  <si>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</si>
  <si>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</si>
  <si>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</si>
  <si>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</si>
  <si>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</si>
  <si>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</si>
  <si>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</si>
  <si>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</si>
  <si>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</si>
  <si>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</si>
  <si>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</si>
  <si>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</si>
  <si>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</si>
  <si>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</si>
  <si>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</si>
  <si>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</si>
  <si>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</si>
  <si>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</si>
  <si>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</si>
  <si>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</si>
  <si>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</si>
  <si>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</si>
  <si>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</si>
  <si>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</si>
  <si>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</si>
  <si>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</si>
  <si>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</si>
  <si>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</si>
  <si>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</si>
  <si>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</si>
  <si>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</si>
  <si>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</si>
  <si>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</si>
  <si>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</si>
  <si>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</si>
  <si>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</si>
  <si>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</si>
  <si>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</si>
  <si>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</si>
  <si>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</si>
  <si>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</si>
  <si>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</si>
  <si>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</si>
  <si>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</si>
  <si>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</si>
  <si>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</si>
  <si>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</si>
  <si>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</si>
  <si>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</si>
  <si>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</si>
  <si>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</si>
  <si>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</si>
  <si>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</si>
  <si>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</si>
  <si>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</si>
  <si>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</si>
  <si>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</si>
  <si>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</si>
  <si>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</si>
  <si>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</si>
  <si>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</si>
  <si>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</si>
  <si>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</si>
  <si>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</si>
  <si>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</si>
  <si>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</si>
  <si>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</si>
  <si>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</si>
  <si>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</si>
  <si>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</si>
  <si>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</si>
  <si>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</si>
  <si>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</si>
  <si>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</si>
  <si>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</si>
  <si>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</si>
  <si>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</si>
  <si>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</si>
  <si>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</si>
  <si>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</si>
  <si>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</si>
  <si>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</si>
  <si>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</si>
  <si>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</si>
  <si>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</si>
  <si>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</si>
  <si>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</si>
  <si>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</si>
  <si>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</si>
  <si>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</si>
  <si>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</si>
  <si>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</si>
  <si>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</si>
  <si>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</si>
  <si>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</si>
  <si>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</si>
  <si>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</si>
  <si>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</si>
  <si>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</si>
  <si>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</si>
  <si>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</si>
  <si>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</si>
  <si>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</si>
  <si>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</si>
  <si>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</si>
  <si>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</si>
  <si>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</si>
  <si>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</si>
  <si>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</si>
  <si>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</si>
  <si>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</si>
  <si>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</si>
  <si>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</si>
  <si>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</si>
  <si>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</si>
  <si>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</si>
  <si>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</si>
  <si>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</si>
  <si>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</si>
  <si>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</si>
  <si>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</si>
  <si>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</si>
  <si>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</si>
  <si>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</si>
  <si>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</si>
  <si>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</si>
  <si>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</si>
  <si>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</si>
  <si>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</si>
  <si>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</si>
  <si>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</si>
  <si>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</si>
  <si>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</si>
  <si>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</si>
  <si>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</si>
  <si>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</si>
  <si>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</si>
  <si>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</si>
  <si>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</si>
  <si>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</si>
  <si>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</si>
  <si>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</si>
  <si>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</si>
  <si>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</si>
  <si>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</si>
  <si>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</si>
  <si>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</si>
  <si>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</si>
  <si>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</si>
  <si>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</si>
  <si>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</si>
  <si>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</si>
  <si>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</si>
  <si>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</si>
  <si>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</si>
  <si>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</si>
  <si>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</si>
  <si>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</si>
  <si>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</si>
  <si>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</si>
  <si>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</si>
  <si>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</si>
  <si>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</si>
  <si>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</si>
  <si>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</si>
  <si>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</si>
  <si>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</si>
  <si>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</si>
  <si>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</si>
  <si>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</si>
  <si>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</si>
  <si>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</si>
  <si>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</si>
  <si>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</si>
  <si>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</si>
  <si>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</si>
  <si>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</si>
  <si>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</si>
  <si>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</si>
  <si>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</si>
  <si>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</si>
  <si>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</si>
  <si>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</si>
  <si>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</si>
  <si>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</si>
  <si>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</si>
  <si>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</si>
  <si>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</si>
  <si>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</si>
  <si>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</si>
  <si>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</si>
  <si>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</si>
  <si>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</si>
  <si>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</si>
  <si>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</si>
  <si>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</si>
  <si>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</si>
  <si>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</si>
  <si>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</si>
  <si>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</si>
  <si>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</si>
  <si>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</si>
  <si>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</si>
  <si>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</si>
  <si>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</si>
  <si>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</si>
  <si>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</si>
  <si>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</si>
  <si>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</si>
  <si>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</si>
  <si>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</si>
  <si>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</si>
  <si>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</si>
  <si>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</si>
  <si>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</si>
  <si>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</si>
  <si>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</si>
  <si>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</si>
  <si>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</si>
  <si>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</si>
  <si>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</si>
  <si>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</si>
  <si>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</si>
  <si>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</si>
  <si>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</si>
  <si>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</si>
  <si>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</si>
  <si>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</si>
  <si>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</si>
  <si>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</si>
  <si>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</si>
  <si>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</si>
  <si>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</si>
  <si>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</si>
  <si>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</si>
  <si>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</si>
  <si>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</si>
  <si>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</si>
  <si>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</si>
  <si>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</si>
  <si>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</si>
  <si>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</si>
  <si>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</si>
  <si>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</si>
  <si>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</si>
  <si>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</si>
  <si>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</si>
  <si>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</si>
  <si>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</si>
  <si>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</si>
  <si>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</si>
  <si>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</si>
  <si>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</si>
  <si>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</si>
  <si>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</si>
  <si>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</si>
  <si>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</si>
  <si>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</si>
  <si>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</si>
  <si>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</si>
  <si>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</si>
  <si>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</si>
  <si>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</si>
  <si>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</si>
  <si>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</si>
  <si>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</si>
  <si>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</si>
  <si>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</si>
  <si>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</si>
  <si>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</si>
  <si>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</si>
  <si>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</si>
  <si>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</si>
  <si>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</si>
  <si>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</si>
  <si>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</si>
  <si>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</si>
  <si>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</si>
  <si>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</si>
  <si>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</si>
  <si>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</si>
  <si>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</si>
  <si>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</si>
  <si>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</si>
  <si>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</si>
  <si>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</si>
  <si>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</si>
  <si>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</si>
  <si>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</si>
  <si>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</si>
  <si>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</si>
  <si>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</si>
  <si>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</si>
  <si>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</si>
  <si>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</si>
  <si>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</si>
  <si>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</si>
  <si>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</si>
  <si>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</si>
  <si>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</si>
  <si>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</si>
  <si>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</si>
  <si>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</si>
  <si>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</si>
  <si>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</si>
  <si>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</si>
  <si>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</si>
  <si>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</si>
  <si>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</si>
  <si>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</si>
  <si>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</si>
  <si>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</si>
  <si>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</si>
  <si>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</si>
  <si>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</si>
  <si>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</si>
  <si>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</si>
  <si>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</si>
  <si>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</si>
  <si>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</si>
  <si>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</si>
  <si>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</si>
  <si>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</si>
  <si>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</si>
  <si>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</si>
  <si>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</si>
  <si>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</si>
  <si>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</si>
  <si>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</si>
  <si>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</si>
  <si>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</si>
  <si>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</si>
  <si>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</si>
  <si>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</si>
  <si>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</si>
  <si>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</si>
  <si>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</si>
  <si>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</si>
  <si>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</si>
  <si>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</si>
  <si>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</si>
  <si>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</si>
  <si>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</si>
  <si>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</si>
  <si>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</si>
  <si>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</si>
  <si>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</si>
  <si>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</si>
  <si>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</si>
  <si>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</si>
  <si>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</si>
  <si>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</si>
  <si>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</si>
  <si>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</si>
  <si>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</si>
  <si>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</si>
  <si>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</si>
  <si>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</si>
  <si>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</si>
  <si>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</si>
  <si>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</si>
  <si>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</si>
  <si>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</si>
  <si>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</si>
  <si>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</si>
  <si>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</si>
  <si>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</si>
  <si>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</si>
  <si>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</si>
  <si>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</si>
  <si>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</si>
  <si>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</si>
  <si>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</si>
  <si>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</si>
  <si>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</si>
  <si>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</si>
  <si>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</si>
  <si>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</si>
  <si>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</si>
  <si>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</si>
  <si>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</si>
  <si>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</si>
  <si>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</si>
  <si>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</si>
  <si>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</si>
  <si>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</si>
  <si>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</si>
  <si>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</si>
  <si>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</si>
  <si>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</si>
  <si>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</si>
  <si>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</si>
  <si>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</si>
  <si>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</si>
  <si>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</si>
  <si>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</si>
  <si>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</si>
  <si>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</si>
  <si>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</si>
  <si>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</si>
  <si>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</si>
  <si>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</si>
  <si>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</si>
  <si>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</si>
  <si>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</si>
  <si>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</si>
  <si>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</si>
  <si>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</si>
  <si>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</si>
  <si>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</si>
  <si>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</si>
  <si>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</si>
  <si>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</si>
  <si>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</si>
  <si>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</si>
  <si>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</si>
  <si>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</si>
  <si>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</si>
  <si>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</si>
  <si>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</si>
  <si>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</si>
  <si>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</si>
  <si>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</si>
  <si>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</si>
  <si>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</si>
  <si>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</si>
  <si>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</si>
  <si>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</si>
  <si>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</si>
  <si>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</si>
  <si>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</si>
  <si>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</si>
  <si>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</si>
  <si>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</si>
  <si>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</si>
  <si>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</si>
  <si>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</si>
  <si>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</si>
  <si>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</si>
  <si>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</si>
  <si>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</si>
  <si>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</si>
  <si>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</si>
  <si>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</si>
  <si>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</si>
  <si>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</si>
  <si>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</si>
  <si>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</si>
  <si>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</si>
  <si>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</si>
  <si>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</si>
  <si>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</si>
  <si>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</si>
  <si>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</si>
  <si>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</si>
  <si>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</si>
  <si>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</si>
  <si>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</si>
  <si>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</si>
  <si>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</si>
  <si>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</si>
  <si>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</si>
  <si>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</si>
  <si>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</si>
  <si>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</si>
  <si>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</si>
  <si>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</si>
  <si>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</si>
  <si>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</si>
  <si>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</si>
  <si>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</si>
  <si>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</si>
  <si>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</si>
  <si>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</si>
  <si>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</si>
  <si>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</si>
  <si>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</si>
  <si>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</si>
  <si>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</si>
  <si>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</si>
  <si>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</si>
  <si>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</si>
  <si>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</si>
  <si>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</si>
  <si>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</si>
  <si>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</si>
  <si>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</si>
  <si>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</si>
  <si>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</si>
  <si>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</si>
  <si>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</si>
  <si>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</si>
  <si>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</si>
  <si>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</si>
  <si>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</si>
  <si>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</si>
  <si>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</si>
  <si>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</si>
  <si>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</si>
  <si>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</si>
  <si>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</si>
  <si>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</si>
  <si>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</si>
  <si>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</si>
  <si>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</si>
  <si>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</si>
  <si>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</si>
  <si>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</si>
  <si>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</si>
  <si>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</si>
  <si>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</si>
  <si>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</si>
  <si>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</si>
  <si>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</si>
  <si>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</si>
  <si>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</si>
  <si>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</si>
  <si>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</si>
  <si>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</si>
  <si>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</si>
  <si>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</si>
  <si>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</si>
  <si>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</si>
  <si>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</si>
  <si>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</si>
  <si>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</si>
  <si>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</si>
  <si>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</si>
  <si>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</si>
  <si>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</si>
  <si>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</si>
  <si>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</si>
  <si>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</si>
  <si>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</si>
  <si>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</si>
  <si>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</si>
  <si>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</si>
  <si>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</si>
  <si>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</si>
  <si>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</si>
  <si>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</si>
  <si>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</si>
  <si>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</si>
  <si>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</si>
  <si>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</si>
  <si>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</si>
  <si>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</si>
  <si>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</si>
  <si>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</si>
  <si>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</si>
  <si>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</si>
  <si>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</si>
  <si>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</si>
  <si>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</si>
  <si>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</si>
  <si>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</si>
  <si>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</si>
  <si>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</si>
  <si>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</si>
  <si>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</si>
  <si>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</si>
  <si>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</si>
  <si>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</si>
  <si>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</si>
  <si>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</si>
  <si>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</si>
  <si>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</si>
  <si>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</si>
  <si>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</si>
  <si>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</si>
  <si>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</si>
  <si>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</si>
  <si>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</si>
  <si>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</si>
  <si>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</si>
  <si>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</si>
  <si>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</si>
  <si>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</si>
  <si>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</si>
  <si>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</si>
  <si>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</si>
  <si>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</si>
  <si>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</si>
  <si>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</si>
  <si>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</si>
  <si>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</si>
  <si>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</si>
  <si>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</si>
  <si>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</si>
  <si>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</si>
  <si>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</si>
  <si>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</si>
  <si>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</si>
  <si>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</si>
  <si>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</si>
  <si>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</si>
  <si>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</si>
  <si>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</si>
  <si>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</si>
  <si>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</si>
  <si>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</si>
  <si>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</si>
  <si>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</si>
  <si>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</si>
  <si>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</si>
  <si>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</si>
  <si>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</si>
  <si>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</si>
  <si>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</si>
  <si>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</si>
  <si>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</si>
  <si>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</si>
  <si>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</si>
  <si>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</si>
  <si>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</si>
  <si>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</si>
  <si>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</si>
  <si>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</si>
  <si>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</si>
  <si>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</si>
  <si>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</si>
  <si>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</si>
  <si>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</si>
  <si>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</si>
  <si>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</si>
  <si>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</si>
  <si>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</si>
  <si>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</si>
  <si>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</si>
  <si>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</si>
  <si>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</si>
  <si>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</si>
  <si>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</si>
  <si>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</si>
  <si>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</si>
  <si>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</si>
  <si>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</si>
  <si>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</si>
  <si>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</si>
  <si>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</si>
  <si>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</si>
  <si>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</si>
  <si>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</si>
  <si>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</si>
  <si>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</si>
  <si>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</si>
  <si>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</si>
  <si>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</si>
  <si>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</si>
  <si>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</si>
  <si>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</si>
  <si>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</si>
  <si>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</si>
  <si>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</si>
  <si>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</si>
  <si>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</si>
  <si>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</si>
  <si>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</si>
  <si>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</si>
  <si>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</si>
  <si>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</si>
  <si>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</si>
  <si>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</si>
  <si>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</si>
  <si>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</si>
  <si>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</si>
  <si>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</si>
  <si>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</si>
  <si>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</si>
  <si>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</si>
  <si>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</si>
  <si>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</si>
  <si>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</si>
  <si>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</si>
  <si>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</si>
  <si>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</si>
  <si>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</si>
  <si>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</si>
  <si>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</si>
  <si>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</si>
  <si>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</si>
  <si>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</si>
  <si>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</si>
  <si>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</si>
  <si>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</si>
  <si>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</si>
  <si>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</si>
  <si>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</si>
  <si>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</si>
  <si>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</si>
  <si>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</si>
  <si>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</si>
  <si>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</si>
  <si>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</si>
  <si>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</si>
  <si>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</si>
  <si>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</si>
  <si>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</si>
  <si>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</si>
  <si>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</si>
  <si>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</si>
  <si>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</si>
  <si>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</si>
  <si>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</si>
  <si>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</si>
  <si>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</si>
  <si>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</si>
  <si>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</si>
  <si>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</si>
  <si>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</si>
  <si>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</si>
  <si>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</si>
  <si>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</si>
  <si>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</si>
  <si>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</si>
  <si>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</si>
  <si>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</si>
  <si>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</si>
  <si>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</si>
  <si>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</si>
  <si>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</si>
  <si>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</si>
  <si>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</si>
  <si>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</si>
  <si>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</si>
  <si>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</si>
  <si>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</si>
  <si>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</si>
  <si>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</si>
  <si>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</si>
  <si>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</si>
  <si>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</si>
  <si>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</si>
  <si>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</si>
  <si>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</si>
  <si>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</si>
  <si>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</si>
  <si>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</si>
  <si>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</si>
  <si>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</si>
  <si>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</si>
  <si>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</si>
  <si>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</si>
  <si>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</si>
  <si>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</si>
  <si>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</si>
  <si>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</si>
  <si>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</si>
  <si>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</si>
  <si>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</si>
  <si>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</si>
  <si>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</si>
  <si>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</si>
  <si>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</si>
  <si>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</si>
  <si>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</si>
  <si>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</si>
  <si>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</si>
  <si>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</si>
  <si>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</si>
  <si>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</si>
  <si>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</si>
  <si>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</si>
  <si>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</si>
  <si>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</si>
  <si>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</si>
  <si>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</si>
  <si>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</si>
  <si>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</si>
  <si>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</si>
  <si>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</si>
  <si>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</si>
  <si>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</si>
  <si>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</si>
  <si>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</si>
  <si>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</si>
  <si>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</si>
  <si>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</si>
  <si>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</si>
  <si>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</si>
  <si>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</si>
  <si>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</si>
  <si>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</si>
  <si>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</si>
  <si>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</si>
  <si>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</si>
  <si>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</si>
  <si>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</si>
  <si>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</si>
  <si>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</si>
  <si>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</si>
  <si>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</si>
  <si>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</si>
  <si>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</si>
  <si>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</si>
  <si>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</si>
  <si>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</si>
  <si>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</si>
  <si>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</si>
  <si>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</si>
  <si>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</si>
  <si>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</si>
  <si>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</si>
  <si>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</si>
  <si>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</si>
  <si>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</si>
  <si>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</si>
  <si>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</si>
  <si>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</si>
  <si>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</si>
  <si>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</si>
  <si>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</si>
  <si>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</si>
  <si>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</si>
  <si>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</si>
  <si>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</si>
  <si>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</si>
  <si>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</si>
  <si>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</si>
  <si>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</si>
  <si>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</si>
  <si>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</si>
  <si>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</si>
  <si>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</si>
  <si>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</si>
  <si>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</si>
  <si>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</si>
  <si>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</si>
  <si>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</si>
  <si>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</si>
  <si>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</si>
  <si>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</si>
  <si>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</si>
  <si>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</si>
  <si>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</si>
  <si>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</si>
  <si>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</si>
  <si>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</si>
  <si>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</si>
  <si>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</si>
  <si>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</si>
  <si>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</si>
  <si>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</si>
  <si>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</si>
  <si>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</si>
  <si>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</si>
  <si>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</si>
  <si>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</si>
  <si>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</si>
  <si>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</si>
  <si>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</si>
  <si>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</si>
  <si>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</si>
  <si>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</si>
  <si>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</si>
  <si>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</si>
  <si>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</si>
  <si>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</si>
  <si>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</si>
  <si>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</si>
  <si>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</si>
  <si>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</si>
  <si>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</si>
  <si>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</si>
  <si>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</si>
  <si>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</si>
  <si>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</si>
  <si>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</si>
  <si>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</si>
  <si>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</si>
  <si>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</si>
  <si>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</si>
  <si>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</si>
  <si>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</si>
  <si>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</si>
  <si>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</si>
  <si>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</si>
  <si>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</si>
  <si>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</si>
  <si>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</si>
  <si>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</si>
  <si>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</si>
  <si>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</si>
  <si>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</si>
  <si>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</si>
  <si>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</si>
  <si>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</si>
  <si>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</si>
  <si>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</si>
  <si>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</si>
  <si>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</si>
  <si>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</si>
  <si>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</si>
  <si>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</si>
  <si>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</si>
  <si>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</si>
  <si>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</si>
  <si>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</si>
  <si>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</si>
  <si>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</si>
  <si>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</si>
  <si>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</si>
  <si>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</si>
  <si>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</si>
  <si>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</si>
  <si>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</si>
  <si>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</si>
  <si>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</si>
  <si>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</si>
  <si>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</si>
  <si>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</si>
  <si>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</si>
  <si>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</si>
  <si>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</si>
  <si>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</si>
  <si>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</si>
  <si>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</si>
  <si>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</si>
  <si>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</si>
  <si>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</si>
  <si>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</si>
  <si>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</si>
  <si>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</si>
  <si>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</si>
  <si>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</si>
  <si>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</si>
  <si>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</si>
  <si>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</si>
  <si>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</si>
  <si>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</si>
  <si>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</si>
  <si>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</si>
  <si>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</si>
  <si>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</si>
  <si>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</si>
  <si>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</si>
  <si>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</si>
  <si>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</si>
  <si>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</si>
  <si>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</si>
  <si>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</si>
  <si>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</si>
  <si>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</si>
  <si>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</si>
  <si>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</si>
  <si>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</si>
  <si>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</si>
  <si>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</si>
  <si>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</si>
  <si>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</si>
  <si>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</si>
  <si>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</si>
  <si>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</si>
  <si>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</si>
  <si>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</si>
  <si>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</si>
  <si>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</si>
  <si>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</si>
  <si>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</si>
  <si>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</si>
  <si>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</si>
  <si>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</si>
  <si>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</si>
  <si>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</si>
  <si>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</si>
  <si>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</si>
  <si>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</si>
  <si>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</si>
  <si>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</si>
  <si>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</si>
  <si>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</si>
  <si>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</si>
  <si>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</si>
  <si>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</si>
  <si>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</si>
  <si>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</si>
  <si>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</si>
  <si>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</si>
  <si>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</si>
  <si>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</si>
  <si>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</si>
  <si>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</si>
  <si>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</si>
  <si>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</si>
  <si>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</si>
  <si>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</si>
  <si>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</si>
  <si>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</si>
  <si>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</si>
  <si>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</si>
  <si>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</si>
  <si>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</si>
  <si>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</si>
  <si>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</si>
  <si>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</si>
  <si>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</si>
  <si>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</si>
  <si>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</si>
  <si>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</si>
  <si>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</si>
  <si>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</si>
  <si>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</si>
  <si>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</si>
  <si>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</si>
  <si>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</si>
  <si>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</si>
  <si>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</si>
  <si>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</si>
  <si>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</si>
  <si>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</si>
  <si>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</si>
  <si>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</si>
  <si>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</si>
  <si>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</si>
  <si>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</si>
  <si>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</si>
  <si>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</si>
  <si>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</si>
  <si>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</si>
  <si>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</si>
  <si>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</si>
  <si>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</si>
  <si>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</si>
  <si>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</si>
  <si>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</si>
  <si>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</si>
  <si>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</si>
  <si>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</si>
  <si>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</si>
  <si>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</si>
  <si>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</si>
  <si>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</si>
  <si>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</si>
  <si>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</si>
  <si>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</si>
  <si>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</si>
  <si>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</si>
  <si>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</si>
  <si>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</si>
  <si>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</si>
  <si>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</si>
  <si>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</si>
  <si>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</si>
  <si>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</si>
  <si>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</si>
  <si>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</si>
  <si>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</si>
  <si>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</si>
  <si>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</si>
  <si>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</si>
  <si>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</si>
  <si>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</si>
  <si>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</si>
  <si>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</si>
  <si>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</si>
  <si>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</si>
  <si>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</si>
  <si>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</si>
  <si>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</si>
  <si>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</si>
  <si>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</si>
  <si>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</si>
  <si>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</si>
  <si>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</si>
  <si>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</si>
  <si>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</si>
  <si>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</si>
  <si>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</si>
  <si>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</si>
  <si>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</si>
  <si>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</si>
  <si>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</si>
  <si>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</si>
  <si>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</si>
  <si>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</si>
  <si>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</si>
  <si>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</si>
  <si>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</si>
  <si>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</si>
  <si>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</si>
  <si>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</si>
  <si>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</si>
  <si>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</si>
  <si>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</si>
  <si>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</si>
  <si>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</si>
  <si>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</si>
  <si>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</si>
  <si>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</si>
  <si>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</si>
  <si>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</si>
  <si>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</si>
  <si>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</si>
  <si>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</si>
  <si>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</si>
  <si>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</si>
  <si>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</si>
  <si>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</si>
  <si>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</si>
  <si>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</si>
  <si>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</si>
  <si>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</si>
  <si>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</si>
  <si>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</si>
  <si>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</si>
  <si>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</si>
  <si>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</si>
  <si>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</si>
  <si>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</si>
  <si>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</si>
  <si>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</si>
  <si>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</si>
  <si>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</si>
  <si>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</si>
  <si>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</si>
  <si>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</si>
  <si>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</si>
  <si>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</si>
  <si>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</si>
  <si>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</si>
  <si>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</si>
  <si>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</si>
  <si>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</si>
  <si>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</si>
  <si>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</si>
  <si>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</si>
  <si>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</si>
  <si>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</si>
  <si>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</si>
  <si>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</si>
  <si>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</si>
  <si>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</si>
  <si>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</si>
  <si>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</si>
  <si>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</si>
  <si>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</si>
  <si>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</si>
  <si>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</si>
  <si>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</si>
  <si>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</si>
  <si>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</si>
  <si>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</si>
  <si>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</si>
  <si>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</si>
  <si>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</si>
  <si>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</si>
  <si>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</si>
  <si>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</si>
  <si>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</si>
  <si>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</si>
  <si>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</si>
  <si>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</si>
  <si>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</si>
  <si>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</si>
  <si>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</si>
  <si>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</si>
  <si>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</si>
  <si>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</si>
  <si>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</si>
  <si>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</si>
  <si>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</si>
  <si>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</si>
  <si>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</si>
  <si>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</si>
  <si>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</si>
  <si>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</si>
  <si>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</si>
  <si>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</si>
  <si>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</si>
  <si>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</si>
  <si>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</si>
  <si>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</si>
  <si>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</si>
  <si>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</si>
  <si>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</si>
  <si>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</si>
  <si>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</si>
  <si>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</si>
  <si>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</si>
  <si>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</si>
  <si>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</si>
  <si>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</si>
  <si>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</si>
  <si>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</si>
  <si>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</si>
  <si>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</si>
  <si>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</si>
  <si>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</si>
  <si>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</si>
  <si>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</si>
  <si>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</si>
  <si>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</si>
  <si>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</si>
  <si>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</si>
  <si>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</si>
  <si>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</si>
  <si>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</si>
  <si>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</si>
  <si>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</si>
  <si>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</si>
  <si>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</si>
  <si>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</si>
  <si>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</si>
  <si>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</si>
  <si>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</si>
  <si>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</si>
  <si>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</si>
  <si>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</si>
  <si>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</si>
  <si>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</si>
  <si>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</si>
  <si>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</si>
  <si>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</si>
  <si>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</si>
  <si>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</si>
  <si>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</si>
  <si>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</si>
  <si>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</si>
  <si>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</si>
  <si>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</si>
  <si>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</si>
  <si>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</si>
  <si>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</si>
  <si>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</si>
  <si>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</si>
  <si>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</si>
  <si>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</si>
  <si>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</si>
  <si>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</si>
  <si>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</si>
  <si>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</si>
  <si>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</si>
  <si>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</si>
  <si>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</si>
  <si>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</si>
  <si>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</si>
  <si>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</si>
  <si>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</si>
  <si>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</si>
  <si>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</si>
  <si>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</si>
  <si>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</si>
  <si>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</si>
  <si>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</si>
  <si>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</si>
  <si>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</si>
  <si>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</si>
  <si>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</si>
  <si>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</si>
  <si>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</si>
  <si>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</si>
  <si>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</si>
  <si>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</si>
  <si>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</si>
  <si>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</si>
  <si>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</si>
  <si>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</si>
  <si>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</si>
  <si>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</si>
  <si>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</si>
  <si>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</si>
  <si>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</si>
  <si>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</si>
  <si>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</si>
  <si>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</si>
  <si>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</si>
  <si>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</si>
  <si>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</si>
  <si>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</si>
  <si>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</si>
  <si>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</si>
  <si>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</si>
  <si>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</si>
  <si>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</si>
  <si>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</si>
  <si>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</si>
  <si>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</si>
  <si>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</si>
  <si>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</si>
  <si>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</si>
  <si>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</si>
  <si>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</si>
  <si>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</si>
  <si>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</si>
  <si>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</si>
  <si>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</si>
  <si>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</si>
  <si>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</si>
  <si>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</si>
  <si>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</si>
  <si>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</si>
  <si>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</si>
  <si>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</si>
  <si>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</si>
  <si>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</si>
  <si>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</si>
  <si>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</si>
  <si>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</si>
  <si>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</si>
  <si>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</si>
  <si>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</si>
  <si>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</si>
  <si>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</si>
  <si>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</si>
  <si>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</si>
  <si>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</si>
  <si>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</si>
  <si>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</si>
  <si>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</si>
  <si>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</si>
  <si>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</si>
  <si>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</si>
  <si>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</si>
  <si>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</si>
  <si>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</si>
  <si>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</si>
  <si>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</si>
  <si>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</si>
  <si>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</si>
  <si>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</si>
  <si>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</si>
  <si>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</si>
  <si>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</si>
  <si>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</si>
  <si>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</si>
  <si>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</si>
  <si>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</si>
  <si>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</si>
  <si>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</si>
  <si>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</si>
  <si>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</si>
  <si>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</si>
  <si>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</si>
  <si>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</si>
  <si>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</si>
  <si>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</si>
  <si>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</si>
  <si>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</si>
  <si>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</si>
  <si>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</si>
  <si>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</si>
  <si>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</si>
  <si>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</si>
  <si>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</si>
  <si>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</si>
  <si>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</si>
  <si>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</si>
  <si>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</si>
  <si>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</si>
  <si>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</si>
  <si>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</si>
  <si>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</si>
  <si>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</si>
  <si>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</si>
  <si>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</si>
  <si>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</si>
  <si>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</si>
  <si>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</si>
  <si>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</si>
  <si>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</si>
  <si>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</si>
  <si>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</si>
  <si>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</si>
  <si>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</si>
  <si>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</si>
  <si>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</si>
  <si>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</si>
  <si>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</si>
  <si>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</si>
  <si>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</si>
  <si>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</si>
  <si>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</si>
  <si>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</si>
  <si>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</si>
  <si>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</si>
  <si>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</si>
  <si>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</si>
  <si>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</si>
  <si>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</si>
  <si>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</si>
  <si>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</si>
  <si>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</si>
  <si>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</si>
  <si>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</si>
  <si>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</si>
  <si>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</si>
  <si>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</si>
  <si>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</si>
  <si>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</si>
  <si>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</si>
  <si>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</si>
  <si>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</si>
  <si>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</si>
  <si>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</si>
  <si>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</si>
  <si>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</si>
  <si>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</si>
  <si>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</si>
  <si>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</si>
  <si>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</si>
  <si>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</si>
  <si>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</si>
  <si>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</si>
  <si>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</si>
  <si>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</si>
  <si>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</si>
  <si>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</si>
  <si>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</si>
  <si>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</si>
  <si>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</si>
  <si>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</si>
  <si>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</si>
  <si>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</si>
  <si>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</si>
  <si>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</si>
  <si>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</si>
  <si>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</si>
  <si>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</si>
  <si>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</si>
  <si>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</si>
  <si>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</si>
  <si>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</si>
  <si>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</si>
  <si>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</si>
  <si>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</si>
  <si>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</si>
  <si>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</si>
  <si>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</si>
  <si>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</si>
  <si>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</si>
  <si>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</si>
  <si>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</si>
  <si>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</si>
  <si>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</si>
  <si>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</si>
  <si>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</si>
  <si>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</si>
  <si>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</si>
  <si>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</si>
  <si>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</si>
  <si>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</si>
  <si>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</si>
  <si>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</si>
  <si>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</si>
  <si>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</si>
  <si>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</si>
  <si>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</si>
  <si>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</si>
  <si>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</si>
  <si>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</si>
  <si>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</si>
  <si>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</si>
  <si>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</si>
  <si>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</si>
  <si>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</si>
  <si>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</si>
  <si>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</si>
  <si>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</si>
  <si>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</si>
  <si>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</si>
  <si>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</si>
  <si>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</si>
  <si>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</si>
  <si>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</si>
  <si>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</si>
  <si>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</si>
  <si>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</si>
  <si>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</si>
  <si>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</si>
  <si>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</si>
  <si>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</si>
  <si>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</si>
  <si>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</si>
  <si>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</si>
  <si>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</si>
  <si>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</si>
  <si>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</si>
  <si>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</si>
  <si>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</si>
  <si>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</si>
  <si>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</si>
  <si>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</si>
  <si>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</si>
  <si>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</si>
  <si>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</si>
  <si>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</si>
  <si>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</si>
  <si>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</si>
  <si>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</si>
  <si>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</si>
  <si>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</si>
  <si>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</si>
  <si>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</si>
  <si>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</si>
  <si>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</si>
  <si>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</si>
  <si>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</si>
  <si>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</si>
  <si>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</si>
  <si>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</si>
  <si>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</si>
  <si>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</si>
  <si>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</si>
  <si>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</si>
  <si>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</si>
  <si>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</si>
  <si>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</si>
  <si>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</si>
  <si>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</si>
  <si>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</si>
  <si>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</si>
  <si>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</si>
  <si>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</si>
  <si>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</si>
  <si>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</si>
  <si>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</si>
  <si>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</si>
  <si>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</si>
  <si>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</si>
  <si>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</si>
  <si>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</si>
  <si>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</si>
  <si>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</si>
  <si>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</si>
  <si>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</si>
  <si>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</si>
  <si>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</si>
  <si>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</si>
  <si>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</si>
  <si>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</si>
  <si>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</si>
  <si>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</si>
  <si>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</si>
  <si>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</si>
  <si>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</si>
  <si>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</si>
  <si>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</si>
  <si>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</si>
  <si>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</si>
  <si>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</si>
  <si>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</si>
  <si>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</si>
  <si>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</si>
  <si>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</si>
  <si>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</si>
  <si>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</si>
  <si>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</si>
  <si>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</si>
  <si>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</si>
  <si>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</si>
  <si>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</si>
  <si>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</si>
  <si>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</si>
  <si>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</si>
  <si>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</si>
  <si>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</si>
  <si>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</si>
  <si>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</si>
  <si>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</si>
  <si>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</si>
  <si>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</si>
  <si>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</si>
  <si>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</si>
  <si>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</si>
  <si>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</si>
  <si>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</si>
  <si>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</si>
  <si>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</si>
  <si>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</si>
  <si>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</si>
  <si>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</si>
  <si>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</si>
  <si>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</si>
  <si>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</si>
  <si>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</si>
  <si>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</si>
  <si>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</si>
  <si>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</si>
  <si>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</si>
  <si>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</si>
  <si>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</si>
  <si>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</si>
  <si>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</si>
  <si>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</si>
  <si>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</si>
  <si>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</si>
  <si>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</si>
  <si>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</si>
  <si>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</si>
  <si>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</si>
  <si>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</si>
  <si>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</si>
  <si>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</si>
  <si>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</si>
  <si>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</si>
  <si>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</si>
  <si>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</si>
  <si>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</si>
  <si>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</si>
  <si>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</si>
  <si>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</si>
  <si>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</si>
  <si>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</si>
  <si>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</si>
  <si>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</si>
  <si>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</si>
  <si>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</si>
  <si>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</si>
  <si>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</si>
  <si>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</si>
  <si>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</si>
  <si>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</si>
  <si>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</si>
  <si>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</si>
  <si>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</si>
  <si>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</si>
  <si>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</si>
  <si>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</si>
  <si>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</si>
  <si>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</si>
  <si>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</si>
  <si>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</si>
  <si>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</si>
  <si>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</si>
  <si>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</si>
  <si>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</si>
  <si>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</si>
  <si>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</si>
  <si>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</si>
  <si>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</si>
  <si>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</si>
  <si>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</si>
  <si>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</si>
  <si>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</si>
  <si>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</si>
  <si>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</si>
  <si>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</si>
  <si>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</si>
  <si>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</si>
  <si>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</si>
  <si>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</si>
  <si>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</si>
  <si>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</si>
  <si>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</si>
  <si>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</si>
  <si>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</si>
  <si>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</si>
  <si>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</si>
  <si>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</si>
  <si>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</si>
  <si>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</si>
  <si>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</si>
  <si>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</si>
  <si>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</si>
  <si>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</si>
  <si>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</si>
  <si>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</si>
  <si>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</si>
  <si>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</si>
  <si>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</si>
  <si>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</si>
  <si>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</si>
  <si>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</si>
  <si>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</si>
  <si>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</si>
  <si>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</si>
  <si>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</si>
  <si>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</si>
  <si>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</si>
  <si>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</si>
  <si>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</si>
  <si>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</si>
  <si>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</si>
  <si>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</si>
  <si>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</si>
  <si>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</si>
  <si>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</si>
  <si>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</si>
  <si>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</si>
  <si>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</si>
  <si>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</si>
  <si>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</si>
  <si>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</si>
  <si>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</si>
  <si>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</si>
  <si>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</si>
  <si>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</si>
  <si>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</si>
  <si>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</si>
  <si>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</si>
  <si>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</si>
  <si>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</si>
  <si>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</si>
  <si>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</si>
  <si>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</si>
  <si>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</si>
  <si>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</si>
  <si>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</si>
  <si>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</si>
  <si>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</si>
  <si>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</si>
  <si>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</si>
  <si>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</si>
  <si>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</si>
  <si>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</si>
  <si>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</si>
  <si>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</si>
  <si>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</si>
  <si>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</si>
  <si>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</si>
  <si>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</si>
  <si>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</si>
  <si>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</si>
  <si>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</si>
  <si>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</si>
  <si>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</si>
  <si>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</si>
  <si>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</si>
  <si>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</si>
  <si>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</si>
  <si>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</si>
  <si>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</si>
  <si>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</si>
  <si>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</si>
  <si>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</si>
  <si>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</si>
  <si>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</si>
  <si>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</si>
  <si>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</si>
  <si>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</si>
  <si>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</si>
  <si>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</si>
  <si>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</si>
  <si>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</si>
  <si>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</si>
  <si>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</si>
  <si>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</si>
  <si>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</si>
  <si>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</si>
  <si>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</si>
  <si>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</si>
  <si>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</si>
  <si>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</si>
  <si>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</si>
  <si>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</si>
  <si>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</si>
  <si>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</si>
  <si>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</si>
  <si>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</si>
  <si>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</si>
  <si>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</si>
  <si>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</si>
  <si>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</si>
  <si>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</si>
  <si>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</si>
  <si>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</si>
  <si>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</si>
  <si>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</si>
  <si>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</si>
  <si>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</si>
  <si>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</si>
  <si>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</si>
  <si>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</si>
  <si>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</si>
  <si>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</si>
  <si>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</si>
  <si>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</si>
  <si>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</si>
  <si>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</si>
  <si>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</si>
  <si>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</si>
  <si>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</si>
  <si>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</si>
  <si>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</si>
  <si>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</si>
  <si>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</si>
  <si>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</si>
  <si>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</si>
  <si>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</si>
  <si>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</si>
  <si>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</si>
  <si>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</si>
  <si>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</si>
  <si>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</si>
  <si>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</si>
  <si>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</si>
  <si>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</si>
  <si>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</si>
  <si>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</si>
  <si>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</si>
  <si>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</si>
  <si>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</si>
  <si>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</si>
  <si>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</si>
  <si>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</si>
  <si>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</si>
  <si>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</si>
  <si>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</si>
  <si>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</si>
  <si>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</si>
  <si>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</si>
  <si>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</si>
  <si>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</si>
  <si>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</si>
  <si>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</si>
  <si>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</si>
  <si>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</si>
  <si>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</si>
  <si>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</si>
  <si>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</si>
  <si>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</si>
  <si>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</si>
  <si>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</si>
  <si>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</si>
  <si>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</si>
  <si>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</si>
  <si>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</si>
  <si>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</si>
  <si>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</si>
  <si>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</si>
  <si>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</si>
  <si>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</si>
  <si>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</si>
  <si>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</si>
  <si>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</si>
  <si>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</si>
  <si>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</si>
  <si>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</si>
  <si>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</si>
  <si>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</si>
  <si>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</si>
  <si>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</si>
  <si>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</si>
  <si>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</si>
  <si>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</si>
  <si>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</si>
  <si>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</si>
  <si>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</si>
  <si>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</si>
  <si>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</si>
  <si>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</si>
  <si>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</si>
  <si>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</si>
  <si>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</si>
  <si>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</si>
  <si>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</si>
  <si>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</si>
  <si>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</si>
  <si>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</si>
  <si>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</si>
  <si>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</si>
  <si>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</si>
  <si>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</si>
  <si>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</si>
  <si>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</si>
  <si>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</si>
  <si>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</si>
  <si>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</si>
  <si>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</si>
  <si>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</si>
  <si>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</si>
  <si>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</si>
  <si>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</si>
  <si>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</si>
  <si>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</si>
  <si>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</si>
  <si>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</si>
  <si>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</si>
  <si>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</si>
  <si>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</si>
  <si>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</si>
  <si>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</si>
  <si>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</si>
  <si>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</si>
  <si>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</si>
  <si>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</si>
  <si>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</si>
  <si>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</si>
  <si>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</si>
  <si>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</si>
  <si>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</si>
  <si>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</si>
  <si>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</si>
  <si>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</si>
  <si>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</si>
  <si>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</si>
  <si>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</si>
  <si>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</si>
  <si>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</si>
  <si>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</si>
  <si>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</si>
  <si>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</si>
  <si>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</si>
  <si>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</si>
  <si>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</si>
  <si>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</si>
  <si>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</si>
  <si>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</si>
  <si>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</si>
  <si>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</si>
  <si>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</si>
  <si>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</si>
  <si>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</si>
  <si>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</si>
  <si>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</si>
  <si>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</si>
  <si>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</si>
  <si>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</si>
  <si>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</si>
  <si>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</si>
  <si>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</si>
  <si>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</si>
  <si>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</si>
  <si>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</si>
  <si>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</si>
  <si>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</si>
  <si>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</si>
  <si>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</si>
  <si>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</si>
  <si>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</si>
  <si>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</si>
  <si>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</si>
  <si>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</si>
  <si>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</si>
  <si>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</si>
  <si>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</si>
  <si>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</si>
  <si>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</si>
  <si>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</si>
  <si>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</si>
  <si>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</si>
  <si>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</si>
  <si>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</si>
  <si>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</si>
  <si>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</si>
  <si>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</si>
  <si>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</si>
  <si>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</si>
  <si>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</si>
  <si>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</si>
  <si>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</si>
  <si>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</si>
  <si>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</si>
  <si>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</si>
  <si>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</si>
  <si>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</si>
  <si>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</si>
  <si>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</si>
  <si>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</si>
  <si>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</si>
  <si>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</si>
  <si>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</si>
  <si>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</si>
  <si>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</si>
  <si>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</si>
  <si>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</si>
  <si>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</si>
  <si>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</si>
  <si>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</si>
  <si>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</si>
  <si>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</si>
  <si>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</si>
  <si>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</si>
  <si>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</si>
  <si>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</si>
  <si>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</si>
  <si>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</si>
  <si>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</si>
  <si>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</si>
  <si>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</si>
  <si>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</si>
  <si>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</si>
  <si>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</si>
  <si>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</si>
  <si>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</si>
  <si>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</si>
  <si>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</si>
  <si>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</si>
  <si>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</si>
  <si>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</si>
  <si>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</si>
  <si>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</si>
  <si>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</si>
  <si>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</si>
  <si>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</si>
  <si>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</si>
  <si>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</si>
  <si>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</si>
  <si>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</si>
  <si>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</si>
  <si>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</si>
  <si>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</si>
  <si>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</si>
  <si>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</si>
  <si>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</si>
  <si>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</si>
  <si>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</si>
  <si>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</si>
  <si>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</si>
  <si>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</si>
  <si>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</si>
  <si>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</si>
  <si>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</si>
  <si>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</si>
  <si>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</si>
  <si>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</si>
  <si>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</si>
  <si>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</si>
  <si>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</si>
  <si>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</si>
  <si>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</si>
  <si>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</si>
  <si>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</si>
  <si>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</si>
  <si>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</si>
  <si>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</si>
  <si>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</si>
  <si>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</si>
  <si>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</si>
  <si>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</si>
  <si>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</si>
  <si>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</si>
  <si>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</si>
  <si>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</si>
  <si>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</si>
  <si>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</si>
  <si>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</si>
  <si>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</si>
  <si>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</si>
  <si>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</si>
  <si>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</si>
  <si>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</si>
  <si>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</si>
  <si>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</si>
  <si>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</si>
  <si>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</si>
  <si>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</si>
  <si>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</si>
  <si>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</si>
  <si>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</si>
  <si>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</si>
  <si>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</si>
  <si>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</si>
  <si>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</si>
  <si>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</si>
  <si>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</si>
  <si>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</si>
  <si>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</si>
  <si>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</si>
  <si>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</si>
  <si>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</si>
  <si>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</si>
  <si>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</si>
  <si>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</si>
  <si>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</si>
  <si>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</si>
  <si>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</si>
  <si>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</si>
  <si>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</si>
  <si>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</si>
  <si>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</si>
  <si>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</si>
  <si>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</si>
  <si>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</si>
  <si>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</si>
  <si>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</si>
  <si>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</si>
  <si>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</si>
  <si>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</si>
  <si>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</si>
  <si>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</si>
  <si>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</si>
  <si>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</si>
  <si>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</si>
  <si>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</si>
  <si>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</si>
  <si>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</si>
  <si>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</si>
  <si>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</si>
  <si>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</si>
  <si>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</si>
  <si>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</si>
  <si>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</si>
  <si>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</si>
  <si>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</si>
  <si>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</si>
  <si>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</si>
  <si>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</si>
  <si>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</si>
  <si>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</si>
  <si>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</si>
  <si>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</si>
  <si>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</si>
  <si>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</si>
  <si>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</si>
  <si>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</si>
  <si>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</si>
  <si>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</si>
  <si>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</si>
  <si>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</si>
  <si>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</si>
  <si>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</si>
  <si>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</si>
  <si>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</si>
  <si>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</si>
  <si>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</si>
  <si>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</si>
  <si>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</si>
  <si>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</si>
  <si>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</si>
  <si>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</si>
  <si>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</si>
  <si>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</si>
  <si>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</si>
  <si>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</si>
  <si>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</si>
  <si>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</si>
  <si>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</si>
  <si>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</si>
  <si>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</si>
  <si>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</si>
  <si>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</si>
  <si>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</si>
  <si>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</si>
  <si>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</si>
  <si>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</si>
  <si>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</si>
  <si>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</si>
  <si>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</si>
  <si>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</si>
  <si>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</si>
  <si>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</si>
  <si>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</si>
  <si>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</si>
  <si>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</si>
  <si>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</si>
  <si>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</si>
  <si>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</si>
  <si>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</si>
  <si>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</si>
  <si>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</si>
  <si>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</si>
  <si>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</si>
  <si>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</si>
  <si>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</si>
  <si>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</si>
  <si>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</si>
  <si>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</si>
  <si>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</si>
  <si>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</si>
  <si>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</si>
  <si>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</si>
  <si>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</si>
  <si>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</si>
  <si>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</si>
  <si>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</si>
  <si>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</si>
  <si>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</si>
  <si>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</si>
  <si>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</si>
  <si>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</si>
  <si>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</si>
  <si>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</si>
  <si>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</si>
  <si>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</si>
  <si>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</si>
  <si>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</si>
  <si>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</si>
  <si>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</si>
  <si>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</si>
  <si>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</si>
  <si>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</si>
  <si>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</si>
  <si>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</si>
  <si>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</si>
  <si>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</si>
  <si>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</si>
  <si>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</si>
  <si>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</si>
  <si>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</si>
  <si>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</si>
  <si>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</si>
  <si>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</si>
  <si>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</si>
  <si>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</si>
  <si>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</si>
  <si>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</si>
  <si>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</si>
  <si>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</si>
  <si>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</si>
  <si>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</si>
  <si>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</si>
  <si>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</si>
  <si>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</si>
  <si>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</si>
  <si>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</si>
  <si>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</si>
  <si>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</si>
  <si>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</si>
  <si>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</si>
  <si>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</si>
  <si>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</si>
  <si>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</si>
  <si>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</si>
  <si>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</si>
  <si>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</si>
  <si>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</si>
  <si>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</si>
  <si>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</si>
  <si>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</si>
  <si>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</si>
  <si>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</si>
  <si>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</si>
  <si>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</si>
  <si>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</si>
  <si>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</si>
  <si>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</si>
  <si>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</si>
  <si>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</si>
  <si>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</si>
  <si>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</si>
  <si>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</si>
  <si>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</si>
  <si>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</si>
  <si>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</si>
  <si>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</si>
  <si>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</si>
  <si>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</si>
  <si>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</si>
  <si>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</si>
  <si>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</si>
  <si>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</si>
  <si>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</si>
  <si>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</si>
  <si>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</si>
  <si>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</si>
  <si>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</si>
  <si>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</si>
  <si>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</si>
  <si>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</si>
  <si>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</si>
  <si>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</si>
  <si>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</si>
  <si>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</si>
  <si>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</si>
  <si>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</si>
  <si>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</si>
  <si>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</si>
  <si>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</si>
  <si>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</si>
  <si>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</si>
  <si>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</si>
  <si>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</si>
  <si>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</si>
  <si>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</si>
  <si>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</si>
  <si>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</si>
  <si>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</si>
  <si>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</si>
  <si>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</si>
  <si>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</si>
  <si>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</si>
  <si>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</si>
  <si>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</si>
  <si>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</si>
  <si>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</si>
  <si>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</si>
  <si>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</si>
  <si>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</si>
  <si>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</si>
  <si>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</si>
  <si>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</si>
  <si>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</si>
  <si>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</si>
  <si>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</si>
  <si>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</si>
  <si>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</si>
  <si>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</si>
  <si>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</si>
  <si>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</si>
  <si>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</si>
  <si>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</si>
  <si>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</si>
  <si>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</si>
  <si>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</si>
  <si>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</si>
  <si>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</si>
  <si>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</si>
  <si>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</si>
  <si>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</si>
  <si>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</si>
  <si>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</si>
  <si>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</si>
  <si>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</si>
  <si>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</si>
  <si>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</si>
  <si>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</si>
  <si>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</si>
  <si>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</si>
  <si>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</si>
  <si>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</si>
  <si>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</si>
  <si>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</si>
  <si>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</si>
  <si>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</si>
  <si>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</si>
  <si>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</si>
  <si>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</si>
  <si>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</si>
  <si>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</si>
  <si>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</si>
  <si>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</si>
  <si>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</si>
  <si>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</si>
  <si>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</si>
  <si>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</si>
  <si>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</si>
  <si>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</si>
  <si>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</si>
  <si>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</si>
  <si>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</si>
  <si>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</si>
  <si>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</si>
  <si>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</si>
  <si>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</si>
  <si>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</si>
  <si>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</si>
  <si>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</si>
  <si>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</si>
  <si>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</si>
  <si>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</si>
  <si>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</si>
  <si>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</si>
  <si>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</si>
  <si>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</si>
  <si>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</si>
  <si>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</si>
  <si>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</si>
  <si>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</si>
  <si>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</si>
  <si>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</si>
  <si>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</si>
  <si>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</si>
  <si>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</si>
  <si>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</si>
  <si>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</si>
  <si>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</si>
  <si>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</si>
  <si>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</si>
  <si>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</si>
  <si>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</si>
  <si>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</si>
  <si>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</si>
  <si>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</si>
  <si>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</si>
  <si>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</si>
  <si>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</si>
  <si>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</si>
  <si>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</si>
  <si>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</si>
  <si>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</si>
  <si>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</si>
  <si>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</si>
  <si>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</si>
  <si>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</si>
  <si>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</si>
  <si>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</si>
  <si>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</si>
  <si>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</si>
  <si>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</si>
  <si>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</si>
  <si>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</si>
  <si>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</si>
  <si>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</si>
  <si>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</si>
  <si>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</si>
  <si>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</si>
  <si>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</si>
  <si>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</si>
  <si>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</si>
  <si>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</si>
  <si>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</si>
  <si>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</si>
  <si>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</si>
  <si>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</si>
  <si>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</si>
  <si>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</si>
  <si>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</si>
  <si>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</si>
  <si>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</si>
  <si>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</si>
  <si>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</si>
  <si>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</si>
  <si>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</si>
  <si>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</si>
  <si>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</si>
  <si>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</si>
  <si>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</si>
  <si>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</si>
  <si>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</si>
  <si>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</si>
  <si>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</si>
  <si>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</si>
  <si>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</si>
  <si>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</si>
  <si>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</si>
  <si>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</si>
  <si>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</si>
  <si>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</si>
  <si>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</si>
  <si>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</si>
  <si>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</si>
  <si>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</si>
  <si>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</si>
  <si>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</si>
  <si>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</si>
  <si>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</si>
  <si>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</si>
  <si>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</si>
  <si>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</si>
  <si>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</si>
  <si>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</si>
  <si>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</si>
  <si>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</si>
  <si>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</si>
  <si>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</si>
  <si>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</si>
  <si>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</si>
  <si>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</si>
  <si>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</si>
  <si>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</si>
  <si>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</si>
  <si>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</si>
  <si>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</si>
  <si>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</si>
  <si>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</si>
  <si>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</si>
  <si>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</si>
  <si>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</si>
  <si>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</si>
  <si>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</si>
  <si>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</si>
  <si>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</si>
  <si>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</si>
  <si>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</si>
  <si>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</si>
  <si>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</si>
  <si>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</si>
  <si>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</si>
  <si>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</si>
  <si>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</si>
  <si>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</si>
  <si>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</si>
  <si>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</si>
  <si>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</si>
  <si>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</si>
  <si>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</si>
  <si>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</si>
  <si>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</si>
  <si>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</si>
  <si>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</si>
  <si>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</si>
  <si>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</si>
  <si>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</si>
  <si>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</si>
  <si>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</si>
  <si>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</si>
  <si>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</si>
  <si>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</si>
  <si>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</si>
  <si>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</si>
  <si>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</si>
  <si>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</si>
  <si>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</si>
  <si>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</si>
  <si>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</si>
  <si>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</si>
  <si>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</si>
  <si>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</si>
  <si>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</si>
  <si>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</si>
  <si>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</si>
  <si>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</si>
  <si>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</si>
  <si>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</si>
  <si>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</si>
  <si>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</si>
  <si>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</si>
  <si>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</si>
  <si>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</si>
  <si>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</si>
  <si>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</si>
  <si>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</si>
  <si>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</si>
  <si>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</si>
  <si>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</si>
  <si>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</si>
  <si>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</si>
  <si>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</si>
  <si>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</si>
  <si>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</si>
  <si>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</si>
  <si>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</si>
  <si>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</si>
  <si>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</si>
  <si>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</si>
  <si>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</si>
  <si>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</si>
  <si>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</si>
  <si>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</si>
  <si>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</si>
  <si>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</si>
  <si>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</si>
  <si>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</si>
  <si>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</si>
  <si>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</si>
  <si>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</si>
  <si>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</si>
  <si>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</si>
  <si>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</si>
  <si>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</si>
  <si>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</si>
  <si>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</si>
  <si>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</si>
  <si>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</si>
  <si>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</si>
  <si>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</si>
  <si>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</si>
  <si>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</si>
  <si>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</si>
  <si>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</si>
  <si>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</si>
  <si>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</si>
  <si>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</si>
  <si>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</si>
  <si>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</si>
  <si>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</si>
  <si>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</si>
  <si>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</si>
  <si>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</si>
  <si>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</si>
  <si>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</si>
  <si>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</si>
  <si>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</si>
  <si>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</si>
  <si>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</si>
  <si>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</si>
  <si>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</si>
  <si>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</si>
  <si>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</si>
  <si>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</si>
  <si>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</si>
  <si>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</si>
  <si>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</si>
  <si>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</si>
  <si>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</si>
  <si>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</si>
  <si>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</si>
  <si>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</si>
  <si>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</si>
  <si>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</si>
  <si>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</si>
  <si>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</si>
  <si>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</si>
  <si>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</si>
  <si>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</si>
  <si>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</si>
  <si>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</si>
  <si>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</si>
  <si>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</si>
  <si>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</si>
  <si>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</si>
  <si>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</si>
  <si>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</si>
  <si>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</si>
  <si>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</si>
  <si>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</si>
  <si>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</si>
  <si>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</si>
  <si>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</si>
  <si>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</si>
  <si>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</si>
  <si>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</si>
  <si>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</si>
  <si>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</si>
  <si>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</si>
  <si>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</si>
  <si>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</si>
  <si>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</si>
  <si>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</si>
  <si>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</si>
  <si>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</si>
  <si>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</si>
  <si>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</si>
  <si>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</si>
  <si>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</si>
  <si>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</si>
  <si>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</si>
  <si>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</si>
  <si>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</si>
  <si>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</si>
  <si>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</si>
  <si>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</si>
  <si>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</si>
  <si>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</si>
  <si>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</si>
  <si>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</si>
  <si>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</si>
  <si>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</si>
  <si>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</si>
  <si>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</si>
  <si>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</si>
  <si>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</si>
  <si>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</si>
  <si>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</si>
  <si>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</si>
  <si>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</si>
  <si>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</si>
  <si>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</si>
  <si>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</si>
  <si>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</si>
  <si>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</si>
  <si>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</si>
  <si>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</si>
  <si>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</si>
  <si>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</si>
  <si>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</si>
  <si>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</si>
  <si>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</si>
  <si>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</si>
  <si>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</si>
  <si>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</si>
  <si>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</si>
  <si>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</si>
  <si>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</si>
  <si>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</si>
  <si>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</si>
  <si>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</si>
  <si>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</si>
  <si>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</si>
  <si>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</si>
  <si>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</si>
  <si>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</si>
  <si>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</si>
  <si>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</si>
  <si>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</si>
  <si>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</si>
  <si>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</si>
  <si>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</si>
  <si>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</si>
  <si>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</si>
  <si>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</si>
  <si>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</si>
  <si>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</si>
  <si>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</si>
  <si>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</si>
  <si>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</si>
  <si>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</si>
  <si>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</si>
  <si>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</si>
  <si>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</si>
  <si>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</si>
  <si>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</si>
  <si>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</si>
  <si>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</si>
  <si>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</si>
  <si>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</si>
  <si>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</si>
  <si>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</si>
  <si>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</si>
  <si>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</si>
  <si>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</si>
  <si>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</si>
  <si>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</si>
  <si>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</si>
  <si>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</si>
  <si>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</si>
  <si>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</si>
  <si>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</si>
  <si>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</si>
  <si>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</si>
  <si>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</si>
  <si>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</si>
  <si>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</si>
  <si>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</si>
  <si>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</si>
  <si>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</si>
  <si>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</si>
  <si>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</si>
  <si>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</si>
  <si>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</si>
  <si>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</si>
  <si>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</si>
  <si>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</si>
  <si>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</si>
  <si>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</si>
  <si>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</si>
  <si>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</si>
  <si>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</si>
  <si>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</si>
  <si>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</si>
  <si>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</si>
  <si>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</si>
  <si>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</si>
  <si>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</si>
  <si>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</si>
  <si>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</si>
  <si>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</si>
  <si>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</si>
  <si>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</si>
  <si>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</si>
  <si>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</si>
  <si>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</si>
  <si>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</si>
  <si>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</si>
  <si>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</si>
  <si>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</si>
  <si>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</si>
  <si>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</si>
  <si>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</si>
  <si>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</si>
  <si>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</si>
  <si>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</si>
  <si>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</si>
  <si>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</si>
  <si>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</si>
  <si>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</si>
  <si>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</si>
  <si>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</si>
  <si>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</si>
  <si>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</si>
  <si>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</si>
  <si>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</si>
  <si>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</si>
  <si>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</si>
  <si>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</si>
  <si>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</si>
  <si>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</si>
  <si>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</si>
  <si>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</si>
  <si>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</si>
  <si>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</si>
  <si>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</si>
  <si>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</si>
  <si>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</si>
  <si>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</si>
  <si>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</si>
  <si>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</si>
  <si>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</si>
  <si>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</si>
  <si>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</si>
  <si>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</si>
  <si>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</si>
  <si>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</si>
  <si>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</si>
  <si>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</si>
  <si>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</si>
  <si>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</si>
  <si>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</si>
  <si>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</si>
  <si>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</si>
  <si>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</si>
  <si>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</si>
  <si>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</si>
  <si>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</si>
  <si>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</si>
  <si>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</si>
  <si>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</si>
  <si>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</si>
  <si>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</si>
  <si>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</si>
  <si>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</si>
  <si>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</si>
  <si>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</si>
  <si>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</si>
  <si>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</si>
  <si>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</si>
  <si>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</si>
  <si>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</si>
  <si>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</si>
  <si>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</si>
  <si>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</si>
  <si>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</si>
  <si>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</si>
  <si>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</si>
  <si>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</si>
  <si>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</si>
  <si>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</si>
  <si>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</si>
  <si>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</si>
  <si>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</si>
  <si>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</si>
  <si>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</si>
  <si>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</si>
  <si>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</si>
  <si>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</si>
  <si>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</si>
  <si>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</si>
  <si>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</si>
  <si>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</si>
  <si>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</si>
  <si>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</si>
  <si>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</si>
  <si>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</si>
  <si>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</si>
  <si>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</si>
  <si>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</si>
  <si>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</si>
  <si>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</si>
  <si>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</si>
  <si>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</si>
  <si>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</si>
  <si>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</si>
  <si>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</si>
  <si>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</si>
  <si>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</si>
  <si>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</si>
  <si>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</si>
  <si>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</si>
  <si>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</si>
  <si>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</si>
  <si>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</si>
  <si>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</si>
  <si>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</si>
  <si>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</si>
  <si>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</si>
  <si>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</si>
  <si>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</si>
  <si>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</si>
  <si>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</si>
  <si>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</si>
  <si>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</si>
  <si>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</si>
  <si>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</si>
  <si>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</si>
  <si>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</si>
  <si>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</si>
  <si>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</si>
  <si>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</si>
  <si>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</si>
  <si>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</si>
  <si>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</si>
  <si>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</si>
  <si>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</si>
  <si>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</si>
  <si>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</si>
  <si>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</si>
  <si>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</si>
  <si>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</si>
  <si>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</si>
  <si>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</si>
  <si>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</si>
  <si>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</si>
  <si>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</si>
  <si>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</si>
  <si>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</si>
  <si>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</si>
  <si>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</si>
  <si>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</si>
  <si>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</si>
  <si>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</si>
  <si>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</si>
  <si>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</si>
  <si>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</si>
  <si>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</si>
  <si>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</si>
  <si>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</si>
  <si>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</si>
  <si>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</si>
  <si>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</si>
  <si>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</si>
  <si>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</si>
  <si>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</si>
  <si>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</si>
  <si>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</si>
  <si>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</si>
  <si>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</si>
  <si>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</si>
  <si>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</si>
  <si>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</si>
  <si>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</si>
  <si>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</si>
  <si>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</si>
  <si>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</si>
  <si>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</si>
  <si>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</si>
  <si>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</si>
  <si>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</si>
  <si>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</si>
  <si>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</si>
  <si>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</si>
  <si>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</si>
  <si>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</si>
  <si>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</si>
  <si>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</si>
  <si>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</si>
  <si>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</si>
  <si>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</si>
  <si>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</si>
  <si>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</si>
  <si>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</si>
  <si>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</si>
  <si>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</si>
  <si>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</si>
  <si>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</si>
  <si>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</si>
  <si>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</si>
  <si>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</si>
  <si>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</si>
  <si>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</si>
  <si>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</si>
  <si>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</si>
  <si>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</si>
  <si>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</si>
  <si>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</si>
  <si>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</si>
  <si>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</si>
  <si>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</si>
  <si>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</si>
  <si>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</si>
  <si>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</si>
  <si>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</si>
  <si>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</si>
  <si>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</si>
  <si>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</si>
  <si>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</si>
  <si>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</si>
  <si>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</si>
  <si>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</si>
  <si>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</si>
  <si>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</si>
  <si>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</si>
  <si>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</si>
  <si>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</si>
  <si>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</si>
  <si>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</si>
  <si>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</si>
  <si>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</si>
  <si>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</si>
  <si>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</si>
  <si>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</si>
  <si>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</si>
  <si>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</si>
  <si>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</si>
  <si>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</si>
  <si>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</si>
  <si>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</si>
  <si>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</si>
  <si>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</si>
  <si>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</si>
  <si>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</si>
  <si>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</si>
  <si>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</si>
  <si>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</si>
  <si>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</si>
  <si>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</si>
  <si>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</si>
  <si>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</si>
  <si>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</si>
  <si>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</si>
  <si>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</si>
  <si>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</si>
  <si>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</si>
  <si>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</si>
  <si>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</si>
  <si>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</si>
  <si>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</si>
  <si>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</si>
  <si>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</si>
  <si>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</si>
  <si>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</si>
  <si>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</si>
  <si>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</si>
  <si>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</si>
  <si>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</si>
  <si>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</si>
  <si>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</si>
  <si>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</si>
  <si>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</si>
  <si>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</si>
  <si>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</si>
  <si>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</si>
  <si>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</si>
  <si>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</si>
  <si>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</si>
  <si>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</si>
  <si>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</si>
  <si>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</si>
  <si>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</si>
  <si>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</si>
  <si>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</si>
  <si>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</si>
  <si>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</si>
  <si>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</si>
  <si>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</si>
  <si>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</si>
  <si>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</si>
  <si>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</si>
  <si>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</si>
  <si>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</si>
  <si>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</si>
  <si>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</si>
  <si>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</si>
  <si>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</si>
  <si>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</si>
  <si>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</si>
  <si>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</si>
  <si>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</si>
  <si>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</si>
  <si>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</si>
  <si>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</si>
  <si>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</si>
  <si>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</si>
  <si>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</si>
  <si>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</si>
  <si>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</si>
  <si>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</si>
  <si>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</si>
  <si>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</si>
  <si>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</si>
  <si>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</si>
  <si>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</si>
  <si>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</si>
  <si>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</si>
  <si>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</si>
  <si>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</si>
  <si>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</si>
  <si>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</si>
  <si>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</si>
  <si>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</si>
  <si>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</si>
  <si>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</si>
  <si>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</si>
  <si>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</si>
  <si>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</si>
  <si>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</si>
  <si>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</si>
  <si>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</si>
  <si>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</si>
  <si>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</si>
  <si>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</si>
  <si>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</si>
  <si>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</si>
  <si>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</si>
  <si>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</si>
  <si>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</si>
  <si>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</si>
  <si>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</si>
  <si>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</si>
  <si>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</si>
  <si>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</si>
  <si>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</si>
  <si>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</si>
  <si>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</si>
  <si>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</si>
  <si>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</si>
  <si>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</si>
  <si>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</si>
  <si>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</si>
  <si>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</si>
  <si>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</si>
  <si>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</si>
  <si>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</si>
  <si>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</si>
  <si>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</si>
  <si>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</si>
  <si>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</si>
  <si>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</si>
  <si>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</si>
  <si>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</si>
  <si>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</si>
  <si>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</si>
  <si>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</si>
  <si>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</si>
  <si>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</si>
  <si>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</si>
  <si>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</si>
  <si>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</si>
  <si>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</si>
  <si>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</si>
  <si>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</si>
  <si>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</si>
  <si>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</si>
  <si>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</si>
  <si>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</si>
  <si>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</si>
  <si>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</si>
  <si>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</si>
  <si>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</si>
  <si>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</si>
  <si>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</si>
  <si>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</si>
  <si>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</si>
  <si>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</si>
  <si>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</si>
  <si>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</si>
  <si>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</si>
  <si>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</si>
  <si>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</si>
  <si>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</si>
  <si>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</si>
  <si>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</si>
  <si>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</si>
  <si>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</si>
  <si>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</si>
  <si>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</si>
  <si>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</si>
  <si>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</si>
  <si>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</si>
  <si>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</si>
  <si>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</si>
  <si>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</si>
  <si>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</si>
  <si>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</si>
  <si>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</si>
  <si>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</si>
  <si>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</si>
  <si>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</si>
  <si>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</si>
  <si>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</si>
  <si>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</si>
  <si>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</si>
  <si>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</si>
  <si>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</si>
  <si>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</si>
  <si>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</si>
  <si>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</si>
  <si>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</si>
  <si>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</si>
  <si>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</si>
  <si>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</si>
  <si>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</si>
  <si>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</si>
  <si>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</si>
  <si>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</si>
  <si>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</si>
  <si>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</si>
  <si>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</si>
  <si>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</si>
  <si>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</si>
  <si>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</si>
  <si>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</si>
  <si>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</si>
  <si>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</si>
  <si>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</si>
  <si>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</si>
  <si>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</si>
  <si>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</si>
  <si>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</si>
  <si>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</si>
  <si>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</si>
  <si>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</si>
  <si>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</si>
  <si>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</si>
  <si>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</si>
  <si>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</si>
  <si>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</si>
  <si>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</si>
  <si>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</si>
  <si>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</si>
  <si>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</si>
  <si>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</si>
  <si>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</si>
  <si>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</si>
  <si>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</si>
  <si>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</si>
  <si>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</si>
  <si>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</si>
  <si>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</si>
  <si>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</si>
  <si>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</si>
  <si>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</si>
  <si>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</si>
  <si>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</si>
  <si>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</si>
  <si>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</si>
  <si>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</si>
  <si>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</si>
  <si>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</si>
  <si>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</si>
  <si>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</si>
  <si>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</si>
  <si>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</si>
  <si>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</si>
  <si>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</si>
  <si>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</si>
  <si>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</si>
  <si>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</si>
  <si>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</si>
  <si>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</si>
  <si>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</si>
  <si>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</si>
  <si>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</si>
  <si>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</si>
  <si>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</si>
  <si>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</si>
  <si>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</si>
  <si>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</si>
  <si>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</si>
  <si>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</si>
  <si>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</si>
  <si>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</si>
  <si>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</si>
  <si>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</si>
  <si>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</si>
  <si>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</si>
  <si>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</si>
  <si>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</si>
  <si>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</si>
  <si>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</si>
  <si>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</si>
  <si>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</si>
  <si>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</si>
  <si>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</si>
  <si>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</si>
  <si>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</si>
  <si>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</si>
  <si>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</si>
  <si>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</si>
  <si>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</si>
  <si>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</si>
  <si>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</si>
  <si>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</si>
  <si>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</si>
  <si>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</si>
  <si>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</si>
  <si>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</si>
  <si>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</si>
  <si>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</si>
  <si>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</si>
  <si>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</si>
  <si>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</si>
  <si>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</si>
  <si>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</si>
  <si>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</si>
  <si>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</si>
  <si>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</si>
  <si>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</si>
  <si>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</si>
  <si>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</si>
  <si>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</si>
  <si>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</si>
  <si>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</si>
  <si>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</si>
  <si>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</si>
  <si>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</si>
  <si>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</si>
  <si>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</si>
  <si>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</si>
  <si>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</si>
  <si>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</si>
  <si>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</si>
  <si>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</si>
  <si>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</si>
  <si>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</si>
  <si>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</si>
  <si>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</si>
  <si>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</si>
  <si>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</si>
  <si>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</si>
  <si>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</si>
  <si>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</si>
  <si>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</si>
  <si>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</si>
  <si>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</si>
  <si>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</si>
  <si>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</si>
  <si>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</si>
  <si>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</si>
  <si>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</si>
  <si>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</si>
  <si>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</si>
  <si>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</si>
  <si>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</si>
  <si>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</si>
  <si>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</si>
  <si>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</si>
  <si>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</si>
  <si>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</si>
  <si>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</si>
  <si>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</si>
  <si>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</si>
  <si>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</si>
  <si>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</si>
  <si>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</si>
  <si>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</si>
  <si>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</si>
  <si>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</si>
  <si>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</si>
  <si>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</si>
  <si>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</si>
  <si>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</si>
  <si>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</si>
  <si>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</si>
  <si>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</si>
  <si>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</si>
  <si>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</si>
  <si>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</si>
  <si>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</si>
  <si>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</si>
  <si>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</si>
  <si>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</si>
  <si>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</si>
  <si>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</si>
  <si>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</si>
  <si>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</si>
  <si>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</si>
  <si>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</si>
  <si>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</si>
  <si>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</si>
  <si>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</si>
  <si>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</si>
  <si>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</si>
  <si>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</si>
  <si>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</si>
  <si>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</si>
  <si>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</si>
  <si>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</si>
  <si>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</si>
  <si>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</si>
  <si>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</si>
  <si>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</si>
  <si>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</si>
  <si>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</si>
  <si>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</si>
  <si>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</si>
  <si>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</si>
  <si>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</si>
  <si>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</si>
  <si>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</si>
  <si>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</si>
  <si>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</si>
  <si>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</si>
  <si>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</si>
  <si>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</si>
  <si>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</si>
  <si>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</si>
  <si>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</si>
  <si>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</si>
  <si>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</si>
  <si>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</si>
  <si>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</si>
  <si>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</si>
  <si>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</si>
  <si>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</si>
  <si>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</si>
  <si>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</si>
  <si>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</si>
  <si>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</si>
  <si>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</si>
  <si>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</si>
  <si>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</si>
  <si>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</si>
  <si>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</si>
  <si>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</si>
  <si>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</si>
  <si>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</si>
  <si>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</si>
  <si>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</si>
  <si>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</si>
  <si>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</si>
  <si>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</si>
  <si>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</si>
  <si>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</si>
  <si>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</si>
  <si>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</si>
  <si>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</si>
  <si>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</si>
  <si>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</si>
  <si>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</si>
  <si>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</si>
  <si>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</si>
  <si>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</si>
  <si>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</si>
  <si>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</si>
  <si>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</si>
  <si>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</si>
  <si>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</si>
  <si>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</si>
  <si>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</si>
  <si>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</si>
  <si>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</si>
  <si>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</si>
  <si>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</si>
  <si>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</si>
  <si>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</si>
  <si>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</si>
  <si>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</si>
  <si>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</si>
  <si>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</si>
  <si>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</si>
  <si>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</si>
  <si>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</si>
  <si>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</si>
  <si>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</si>
  <si>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</si>
  <si>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</si>
  <si>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</si>
  <si>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</si>
  <si>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</si>
  <si>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</si>
  <si>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</si>
  <si>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</si>
  <si>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</si>
  <si>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</si>
  <si>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</si>
  <si>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</si>
  <si>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</si>
  <si>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</si>
  <si>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</si>
  <si>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</si>
  <si>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</si>
  <si>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</si>
  <si>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</si>
  <si>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</si>
  <si>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</si>
  <si>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</si>
  <si>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</si>
  <si>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</si>
  <si>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</si>
  <si>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</si>
  <si>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</si>
  <si>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</si>
  <si>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</si>
  <si>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</si>
  <si>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</si>
  <si>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</si>
  <si>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</si>
  <si>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</si>
  <si>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</si>
  <si>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</si>
  <si>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</si>
  <si>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</si>
  <si>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</si>
  <si>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</si>
  <si>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</si>
  <si>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</si>
  <si>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</si>
  <si>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</si>
  <si>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</si>
  <si>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</si>
  <si>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</si>
  <si>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</si>
  <si>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</si>
  <si>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</si>
  <si>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</si>
  <si>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</si>
  <si>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</si>
  <si>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</si>
  <si>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</si>
  <si>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</si>
  <si>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</si>
  <si>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</si>
  <si>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</si>
  <si>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</si>
  <si>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</si>
  <si>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</si>
  <si>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</si>
  <si>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</si>
  <si>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</si>
  <si>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</si>
  <si>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</si>
  <si>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</si>
  <si>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</si>
  <si>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</si>
  <si>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</si>
  <si>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</si>
  <si>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</si>
  <si>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</si>
  <si>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</si>
  <si>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</si>
  <si>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</si>
  <si>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</si>
  <si>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</si>
  <si>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</si>
  <si>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</si>
  <si>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</si>
  <si>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</si>
  <si>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</si>
  <si>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</si>
  <si>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</si>
  <si>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</si>
  <si>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</si>
  <si>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</si>
  <si>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</si>
  <si>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</si>
  <si>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</si>
  <si>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</si>
  <si>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</si>
  <si>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</si>
  <si>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</si>
  <si>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</si>
  <si>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</si>
  <si>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</si>
  <si>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</si>
  <si>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</si>
  <si>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</si>
  <si>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</si>
  <si>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</si>
  <si>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</si>
  <si>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</si>
  <si>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</si>
  <si>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</si>
  <si>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</si>
  <si>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</si>
  <si>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</si>
  <si>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</si>
  <si>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</si>
  <si>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</si>
  <si>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</si>
  <si>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</si>
  <si>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</si>
  <si>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</si>
  <si>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</si>
  <si>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</si>
  <si>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</si>
  <si>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</si>
  <si>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</si>
  <si>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</si>
  <si>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</si>
  <si>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</si>
  <si>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</si>
  <si>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</si>
  <si>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</si>
  <si>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</si>
  <si>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</si>
  <si>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</si>
  <si>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</si>
  <si>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</si>
  <si>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</si>
  <si>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</si>
  <si>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</si>
  <si>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</si>
  <si>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</si>
  <si>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</si>
  <si>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</si>
  <si>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</si>
  <si>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</si>
  <si>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</si>
  <si>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</si>
  <si>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</si>
  <si>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</si>
  <si>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</si>
  <si>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</si>
  <si>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</si>
  <si>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</si>
  <si>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</si>
  <si>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</si>
  <si>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</si>
  <si>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</si>
  <si>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</si>
  <si>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</si>
  <si>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</si>
  <si>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</si>
  <si>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</si>
  <si>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</si>
  <si>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</si>
  <si>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</si>
  <si>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</si>
  <si>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</si>
  <si>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</si>
  <si>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</si>
  <si>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</si>
  <si>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</si>
  <si>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</si>
  <si>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</si>
  <si>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</si>
  <si>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</si>
  <si>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</si>
  <si>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</si>
  <si>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</si>
  <si>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</si>
  <si>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</si>
  <si>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</si>
  <si>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</si>
  <si>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</si>
  <si>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</si>
  <si>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</si>
  <si>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</si>
  <si>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</si>
  <si>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</si>
  <si>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</si>
  <si>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</si>
  <si>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</si>
  <si>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</si>
  <si>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</si>
  <si>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</si>
  <si>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</si>
  <si>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</si>
  <si>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</si>
  <si>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</si>
  <si>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</si>
  <si>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</si>
  <si>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</si>
  <si>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</si>
  <si>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</si>
  <si>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</si>
  <si>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</si>
  <si>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</si>
  <si>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</si>
  <si>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</si>
  <si>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</si>
  <si>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</si>
  <si>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</si>
  <si>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</si>
  <si>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</si>
  <si>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</si>
  <si>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</si>
  <si>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</si>
  <si>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</si>
  <si>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</si>
  <si>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</si>
  <si>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</si>
  <si>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</si>
  <si>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</si>
  <si>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</si>
  <si>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</si>
  <si>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</si>
  <si>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</si>
  <si>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</si>
  <si>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</si>
  <si>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</si>
  <si>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</si>
  <si>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</si>
  <si>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</si>
  <si>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</si>
  <si>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</si>
  <si>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</si>
  <si>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</si>
  <si>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</si>
  <si>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</si>
  <si>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</si>
  <si>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</si>
  <si>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</si>
  <si>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</si>
  <si>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</si>
  <si>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</si>
  <si>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</si>
  <si>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</si>
  <si>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</si>
  <si>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</si>
  <si>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</si>
  <si>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</si>
  <si>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</si>
  <si>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</si>
  <si>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</si>
  <si>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</si>
  <si>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</si>
  <si>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</si>
  <si>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</si>
  <si>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</si>
  <si>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</si>
  <si>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</si>
  <si>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</si>
  <si>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</si>
  <si>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</si>
  <si>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</si>
  <si>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</si>
  <si>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</si>
  <si>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</si>
  <si>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</si>
  <si>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</si>
  <si>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</si>
  <si>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</si>
  <si>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</si>
  <si>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</si>
  <si>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</si>
  <si>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</si>
  <si>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</si>
  <si>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</si>
  <si>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</si>
  <si>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</si>
  <si>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</si>
  <si>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</si>
  <si>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</si>
  <si>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</si>
  <si>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</si>
  <si>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</si>
  <si>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</si>
  <si>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</si>
  <si>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</si>
  <si>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</si>
  <si>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</si>
  <si>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</si>
  <si>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</si>
  <si>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</si>
  <si>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</si>
  <si>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</si>
  <si>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</si>
  <si>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</si>
  <si>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</si>
  <si>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</si>
  <si>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</si>
  <si>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</si>
  <si>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</si>
  <si>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</si>
  <si>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</si>
  <si>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</si>
  <si>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</si>
  <si>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</si>
  <si>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</si>
  <si>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</si>
  <si>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</si>
  <si>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</si>
  <si>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</si>
  <si>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</si>
  <si>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</si>
  <si>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</si>
  <si>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</si>
  <si>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</si>
  <si>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</si>
  <si>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</si>
  <si>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</si>
  <si>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</si>
  <si>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</si>
  <si>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</si>
  <si>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</si>
  <si>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</si>
  <si>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</si>
  <si>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</si>
  <si>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</si>
  <si>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</si>
  <si>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</si>
  <si>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</si>
  <si>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</si>
  <si>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</si>
  <si>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</si>
  <si>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</si>
  <si>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</si>
  <si>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</si>
  <si>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</si>
  <si>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</si>
  <si>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</si>
  <si>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</si>
  <si>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</si>
  <si>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</si>
  <si>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</si>
  <si>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</si>
  <si>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</si>
  <si>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</si>
  <si>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</si>
  <si>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</si>
  <si>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</si>
  <si>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</si>
  <si>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</si>
  <si>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</si>
  <si>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</si>
  <si>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</si>
  <si>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</si>
  <si>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</si>
  <si>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</si>
  <si>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</si>
  <si>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</si>
  <si>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</si>
  <si>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</si>
  <si>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</si>
  <si>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</si>
  <si>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</si>
  <si>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</si>
  <si>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</si>
  <si>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</si>
  <si>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</si>
  <si>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</si>
  <si>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</si>
  <si>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</si>
  <si>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</si>
  <si>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</si>
  <si>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</si>
  <si>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</si>
  <si>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</si>
  <si>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</si>
  <si>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</si>
  <si>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</si>
  <si>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</si>
  <si>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</si>
  <si>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</si>
  <si>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</si>
  <si>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</si>
  <si>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</si>
  <si>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</si>
  <si>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</si>
  <si>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</si>
  <si>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</si>
  <si>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</si>
  <si>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</si>
  <si>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</si>
  <si>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</si>
  <si>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</si>
  <si>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</si>
  <si>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</si>
  <si>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</si>
  <si>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</si>
  <si>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</si>
  <si>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</si>
  <si>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</si>
  <si>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</si>
  <si>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</si>
  <si>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</si>
  <si>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</si>
  <si>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</si>
  <si>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</si>
  <si>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</si>
  <si>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</si>
  <si>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</si>
  <si>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</si>
  <si>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</si>
  <si>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</si>
  <si>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</si>
  <si>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</si>
  <si>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</si>
  <si>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</si>
  <si>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</si>
  <si>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</si>
  <si>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</si>
  <si>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</si>
  <si>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</si>
  <si>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</si>
  <si>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</si>
  <si>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</si>
  <si>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</si>
  <si>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</si>
  <si>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</si>
  <si>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</si>
  <si>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</si>
  <si>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</si>
  <si>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</si>
  <si>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</si>
  <si>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</si>
  <si>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</si>
  <si>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</si>
  <si>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</si>
  <si>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</si>
  <si>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</si>
  <si>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</si>
  <si>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</si>
  <si>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</si>
  <si>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</si>
  <si>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</si>
  <si>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</si>
  <si>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</si>
  <si>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</si>
  <si>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</si>
  <si>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</si>
  <si>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</si>
  <si>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</si>
  <si>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</si>
  <si>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</si>
  <si>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</si>
  <si>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</si>
  <si>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</si>
  <si>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</si>
  <si>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</si>
  <si>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</si>
  <si>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</si>
  <si>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</si>
  <si>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</si>
  <si>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</si>
  <si>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</si>
  <si>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</si>
  <si>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</si>
  <si>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</si>
  <si>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</si>
  <si>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</si>
  <si>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</si>
  <si>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</si>
  <si>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</si>
  <si>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</si>
  <si>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</si>
  <si>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</si>
  <si>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</si>
  <si>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</si>
  <si>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</si>
  <si>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</si>
  <si>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</si>
  <si>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</si>
  <si>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</si>
  <si>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</si>
  <si>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</si>
  <si>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</si>
  <si>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</si>
  <si>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</si>
  <si>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</si>
  <si>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</si>
  <si>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</si>
  <si>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</si>
  <si>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</si>
  <si>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</si>
  <si>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</si>
  <si>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</si>
  <si>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</si>
  <si>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</si>
  <si>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</si>
  <si>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</si>
  <si>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</si>
  <si>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</si>
  <si>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</si>
  <si>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</si>
  <si>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</si>
  <si>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</si>
  <si>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</si>
  <si>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</si>
  <si>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</si>
  <si>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</si>
  <si>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</si>
  <si>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</si>
  <si>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</si>
  <si>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</si>
  <si>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</si>
  <si>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</si>
  <si>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</si>
  <si>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</si>
  <si>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</si>
  <si>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</si>
  <si>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</si>
  <si>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</si>
  <si>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</si>
  <si>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</si>
  <si>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</si>
  <si>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</si>
  <si>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</si>
  <si>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</si>
  <si>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</si>
  <si>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</si>
  <si>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</si>
  <si>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</si>
  <si>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</si>
  <si>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</si>
  <si>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</si>
  <si>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</si>
  <si>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</si>
  <si>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</si>
  <si>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</si>
  <si>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</si>
  <si>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</si>
  <si>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</si>
  <si>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</si>
  <si>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</si>
  <si>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</si>
  <si>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</si>
  <si>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</si>
  <si>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</si>
  <si>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</si>
  <si>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</si>
  <si>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</si>
  <si>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</si>
  <si>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</si>
  <si>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</si>
  <si>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</si>
  <si>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</si>
  <si>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</si>
  <si>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</si>
  <si>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</si>
  <si>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</si>
  <si>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</si>
  <si>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</si>
  <si>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</si>
  <si>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</si>
  <si>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</si>
  <si>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</si>
  <si>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</si>
  <si>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</si>
  <si>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</si>
  <si>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</si>
  <si>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</si>
  <si>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</si>
  <si>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</si>
  <si>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</si>
  <si>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</si>
  <si>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</si>
  <si>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</si>
  <si>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</si>
  <si>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</si>
  <si>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</si>
  <si>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</si>
  <si>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</si>
  <si>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</si>
  <si>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</si>
  <si>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</si>
  <si>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</si>
  <si>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</si>
  <si>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</si>
  <si>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</si>
  <si>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</si>
  <si>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</si>
  <si>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</si>
  <si>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</si>
  <si>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</si>
  <si>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</si>
  <si>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</si>
  <si>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</si>
  <si>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</si>
  <si>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</si>
  <si>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</si>
  <si>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</si>
  <si>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</si>
  <si>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</si>
  <si>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</si>
  <si>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</si>
  <si>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</si>
  <si>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</si>
  <si>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</si>
  <si>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</si>
  <si>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</si>
  <si>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</si>
  <si>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</si>
  <si>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</si>
  <si>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</si>
  <si>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</si>
  <si>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</si>
  <si>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</si>
  <si>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</si>
  <si>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</si>
  <si>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</si>
  <si>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</si>
  <si>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</si>
  <si>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</si>
  <si>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</si>
  <si>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</si>
  <si>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</si>
  <si>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</si>
  <si>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</si>
  <si>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</si>
  <si>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</si>
  <si>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</si>
  <si>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</si>
  <si>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</si>
  <si>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</si>
  <si>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</si>
  <si>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</si>
  <si>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</si>
  <si>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</si>
  <si>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</si>
  <si>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</si>
  <si>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</si>
  <si>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</si>
  <si>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</si>
  <si>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</si>
  <si>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</si>
  <si>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</si>
  <si>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</si>
  <si>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</si>
  <si>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</si>
  <si>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</si>
  <si>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</si>
  <si>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</si>
  <si>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</si>
  <si>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</si>
  <si>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</si>
  <si>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</si>
  <si>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</si>
  <si>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</si>
  <si>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</si>
  <si>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</si>
  <si>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</si>
  <si>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</si>
  <si>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</si>
  <si>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</si>
  <si>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</si>
  <si>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</si>
  <si>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</si>
  <si>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</si>
  <si>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</si>
  <si>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</si>
  <si>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</si>
  <si>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</si>
  <si>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</si>
  <si>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</si>
  <si>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</si>
  <si>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</si>
  <si>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</si>
  <si>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</si>
  <si>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</si>
  <si>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</si>
  <si>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</si>
  <si>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</si>
  <si>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</si>
  <si>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</si>
  <si>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</si>
  <si>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</si>
  <si>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</si>
  <si>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</si>
  <si>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</si>
  <si>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</si>
  <si>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</si>
  <si>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</si>
  <si>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</si>
  <si>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</si>
  <si>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</si>
  <si>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</si>
  <si>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</si>
  <si>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</si>
  <si>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</si>
  <si>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</si>
  <si>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</si>
  <si>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</si>
  <si>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</si>
  <si>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</si>
  <si>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</si>
  <si>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</si>
  <si>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</si>
  <si>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</si>
  <si>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</si>
  <si>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</si>
  <si>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</si>
  <si>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</si>
  <si>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</si>
  <si>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</si>
  <si>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</si>
  <si>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</si>
  <si>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</si>
  <si>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</si>
  <si>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</si>
  <si>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</si>
  <si>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</si>
  <si>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</si>
  <si>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</si>
  <si>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</si>
  <si>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</si>
  <si>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</si>
  <si>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</si>
  <si>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</si>
  <si>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</si>
  <si>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</si>
  <si>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</si>
  <si>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</si>
  <si>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</si>
  <si>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</si>
  <si>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</si>
  <si>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</si>
  <si>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</si>
  <si>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</si>
  <si>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</si>
  <si>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</si>
  <si>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</si>
  <si>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</si>
  <si>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</si>
  <si>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</si>
  <si>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</si>
  <si>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</si>
  <si>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</si>
  <si>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</si>
  <si>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</si>
  <si>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</si>
  <si>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</si>
  <si>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</si>
  <si>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</si>
  <si>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</si>
  <si>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</si>
  <si>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</si>
  <si>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</si>
  <si>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</si>
  <si>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</si>
  <si>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</si>
  <si>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</si>
  <si>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</si>
  <si>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</si>
  <si>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</si>
  <si>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</si>
  <si>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</si>
  <si>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</si>
  <si>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</si>
  <si>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</si>
  <si>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</si>
  <si>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</si>
  <si>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</si>
  <si>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</si>
  <si>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</si>
  <si>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</si>
  <si>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</si>
  <si>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</si>
  <si>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</si>
  <si>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</si>
  <si>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</si>
  <si>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</si>
  <si>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</si>
  <si>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</si>
  <si>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</si>
  <si>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</si>
  <si>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</si>
  <si>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</si>
  <si>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</si>
  <si>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</si>
  <si>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</si>
  <si>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</si>
  <si>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</si>
  <si>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</si>
  <si>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</si>
  <si>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</si>
  <si>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</si>
  <si>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</si>
  <si>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</si>
  <si>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</si>
  <si>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</si>
  <si>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</si>
  <si>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</si>
  <si>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</si>
  <si>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</si>
  <si>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</si>
  <si>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</si>
  <si>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</si>
  <si>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</si>
  <si>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</si>
  <si>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</si>
  <si>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</si>
  <si>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</si>
  <si>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</si>
  <si>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</si>
  <si>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</si>
  <si>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</si>
  <si>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</si>
  <si>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</si>
  <si>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</si>
  <si>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</si>
  <si>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</si>
  <si>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</si>
  <si>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</si>
  <si>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</si>
  <si>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</si>
  <si>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</si>
  <si>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</si>
  <si>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</si>
  <si>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</si>
  <si>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</si>
  <si>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</si>
  <si>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</si>
  <si>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</si>
  <si>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</si>
  <si>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</si>
  <si>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</si>
  <si>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</si>
  <si>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</si>
  <si>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</si>
  <si>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</si>
  <si>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</si>
  <si>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</si>
  <si>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</si>
  <si>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</si>
  <si>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</si>
  <si>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</si>
  <si>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</si>
  <si>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</si>
  <si>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</si>
  <si>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</si>
  <si>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</si>
  <si>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</si>
  <si>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</si>
  <si>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</si>
  <si>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</si>
  <si>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</si>
  <si>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</si>
  <si>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</si>
  <si>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</si>
  <si>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</si>
  <si>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</si>
  <si>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</si>
  <si>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</si>
  <si>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</si>
  <si>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</si>
  <si>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</si>
  <si>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</si>
  <si>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</si>
  <si>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</si>
  <si>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</si>
  <si>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</si>
  <si>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</si>
  <si>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</si>
  <si>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</si>
  <si>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</si>
  <si>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</si>
  <si>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</si>
  <si>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</si>
  <si>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</si>
  <si>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</si>
  <si>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</si>
  <si>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</si>
  <si>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</si>
  <si>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</si>
  <si>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</si>
  <si>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</si>
  <si>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</si>
  <si>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</si>
  <si>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</si>
  <si>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</si>
  <si>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</si>
  <si>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</si>
  <si>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</si>
  <si>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</si>
  <si>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</si>
  <si>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</si>
  <si>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</si>
  <si>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</si>
  <si>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</si>
  <si>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</si>
  <si>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</si>
  <si>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</si>
  <si>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</si>
  <si>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</si>
  <si>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</si>
  <si>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</si>
  <si>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</si>
  <si>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</si>
  <si>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</si>
  <si>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</si>
  <si>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</si>
  <si>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</si>
  <si>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</si>
  <si>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</si>
  <si>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</si>
  <si>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</si>
  <si>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</si>
  <si>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</si>
  <si>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</si>
  <si>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</si>
  <si>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</si>
  <si>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</si>
  <si>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</si>
  <si>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</si>
  <si>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</si>
  <si>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</si>
  <si>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</si>
  <si>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</si>
  <si>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</si>
  <si>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</si>
  <si>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</si>
  <si>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</si>
  <si>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</si>
  <si>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</si>
  <si>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</si>
  <si>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</si>
  <si>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</si>
  <si>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</si>
  <si>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</si>
  <si>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</si>
  <si>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</si>
  <si>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</si>
  <si>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</si>
  <si>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</si>
  <si>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</si>
  <si>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</si>
  <si>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</si>
  <si>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</si>
  <si>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</si>
  <si>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</si>
  <si>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</si>
  <si>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</si>
  <si>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</si>
  <si>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</si>
  <si>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</si>
  <si>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</si>
  <si>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</si>
  <si>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</si>
  <si>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</si>
  <si>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</si>
  <si>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</si>
  <si>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</si>
  <si>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</si>
  <si>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</si>
  <si>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</si>
  <si>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</si>
  <si>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</si>
  <si>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</si>
  <si>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</si>
  <si>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</si>
  <si>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</si>
  <si>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</si>
  <si>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</si>
  <si>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</si>
  <si>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</si>
  <si>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</si>
  <si>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</si>
  <si>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</si>
  <si>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</si>
  <si>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</si>
  <si>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</si>
  <si>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</si>
  <si>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</si>
  <si>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</si>
  <si>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</si>
  <si>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</si>
  <si>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</si>
  <si>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</si>
  <si>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</si>
  <si>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</si>
  <si>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</si>
  <si>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</si>
  <si>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</si>
  <si>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</si>
  <si>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</si>
  <si>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</si>
  <si>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</si>
  <si>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</si>
  <si>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</si>
  <si>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</si>
  <si>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</si>
  <si>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</si>
  <si>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</si>
  <si>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</si>
  <si>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</si>
  <si>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</si>
  <si>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</si>
  <si>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</si>
  <si>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</si>
  <si>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</si>
  <si>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</si>
  <si>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</si>
  <si>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</si>
  <si>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</si>
  <si>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</si>
  <si>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</si>
  <si>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</si>
  <si>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</si>
  <si>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</si>
  <si>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</si>
  <si>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</si>
  <si>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</si>
  <si>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</si>
  <si>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</si>
  <si>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</si>
  <si>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</si>
  <si>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</si>
  <si>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</si>
  <si>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</si>
  <si>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</si>
  <si>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</si>
  <si>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</si>
  <si>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</si>
  <si>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</si>
  <si>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</si>
  <si>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</si>
  <si>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</si>
  <si>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</si>
  <si>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</si>
  <si>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</si>
  <si>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</si>
  <si>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</si>
  <si>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</si>
  <si>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</si>
  <si>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</si>
  <si>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</si>
  <si>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</si>
  <si>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</si>
  <si>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</si>
  <si>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</si>
  <si>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</si>
  <si>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</si>
  <si>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</si>
  <si>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</si>
  <si>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</si>
  <si>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</si>
  <si>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</si>
  <si>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</si>
  <si>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</si>
  <si>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</si>
  <si>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</si>
  <si>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</si>
  <si>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</si>
  <si>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</si>
  <si>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</si>
  <si>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</si>
  <si>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</si>
  <si>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</si>
  <si>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</si>
  <si>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</si>
  <si>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</si>
  <si>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</si>
  <si>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</si>
  <si>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</si>
  <si>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</si>
  <si>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</si>
  <si>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</si>
  <si>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</si>
  <si>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</si>
  <si>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</si>
  <si>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</si>
  <si>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</si>
  <si>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</si>
  <si>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</si>
  <si>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</si>
  <si>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</si>
  <si>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</si>
  <si>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</si>
  <si>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</si>
  <si>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</si>
  <si>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</si>
  <si>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</si>
  <si>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</si>
  <si>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</si>
  <si>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</si>
  <si>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</si>
  <si>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</si>
  <si>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</si>
  <si>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</si>
  <si>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</si>
  <si>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</si>
  <si>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</si>
  <si>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</si>
  <si>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</si>
  <si>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</si>
  <si>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</si>
  <si>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</si>
  <si>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</si>
  <si>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</si>
  <si>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</si>
  <si>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</si>
  <si>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</si>
  <si>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</si>
  <si>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</si>
  <si>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</si>
  <si>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</si>
  <si>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</si>
  <si>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</si>
  <si>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</si>
  <si>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</si>
  <si>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</si>
  <si>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</si>
  <si>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</si>
  <si>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</si>
  <si>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</si>
  <si>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</si>
  <si>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</si>
  <si>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</si>
  <si>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</si>
  <si>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</si>
  <si>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</si>
  <si>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</si>
  <si>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</si>
  <si>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</si>
  <si>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</si>
  <si>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</si>
  <si>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</si>
  <si>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</si>
  <si>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</si>
  <si>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</si>
  <si>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</si>
  <si>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</si>
  <si>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</si>
  <si>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</si>
  <si>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</si>
  <si>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</si>
  <si>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</si>
  <si>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</si>
  <si>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</si>
  <si>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</si>
  <si>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</si>
  <si>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</si>
  <si>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</si>
  <si>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</si>
  <si>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</si>
  <si>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</si>
  <si>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</si>
  <si>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</si>
  <si>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</si>
  <si>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</si>
  <si>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</si>
  <si>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</si>
  <si>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</si>
  <si>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</si>
  <si>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</si>
  <si>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</si>
  <si>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</si>
  <si>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</si>
  <si>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</si>
  <si>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</si>
  <si>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</si>
  <si>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</si>
  <si>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</si>
  <si>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</si>
  <si>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</si>
  <si>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</si>
  <si>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</si>
  <si>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</si>
  <si>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</si>
  <si>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</si>
  <si>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</si>
  <si>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</si>
  <si>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</si>
  <si>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</si>
  <si>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</si>
  <si>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</si>
  <si>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</si>
  <si>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</si>
  <si>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</si>
  <si>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</si>
  <si>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</si>
  <si>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</si>
  <si>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</si>
  <si>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</si>
  <si>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</si>
  <si>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</si>
  <si>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</si>
  <si>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</si>
  <si>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</si>
  <si>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</si>
  <si>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</si>
  <si>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</si>
  <si>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</si>
  <si>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</si>
  <si>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</si>
  <si>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</si>
  <si>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</si>
  <si>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</si>
  <si>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</si>
  <si>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</si>
  <si>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</si>
  <si>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</si>
  <si>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</si>
  <si>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</si>
  <si>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</si>
  <si>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</si>
  <si>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</si>
  <si>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</si>
  <si>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</si>
  <si>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</si>
  <si>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</si>
  <si>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</si>
  <si>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</si>
  <si>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</si>
  <si>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</si>
  <si>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</si>
  <si>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</si>
  <si>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</si>
  <si>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</si>
  <si>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</si>
  <si>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</si>
  <si>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</si>
  <si>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</si>
  <si>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</si>
  <si>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</si>
  <si>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</si>
  <si>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</si>
  <si>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</si>
  <si>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</si>
  <si>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</si>
  <si>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</si>
  <si>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</si>
  <si>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</si>
  <si>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</si>
  <si>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</si>
  <si>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</si>
  <si>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</si>
  <si>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</si>
  <si>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</si>
  <si>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</si>
  <si>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</si>
  <si>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</si>
  <si>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</si>
  <si>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</si>
  <si>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</si>
  <si>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</si>
  <si>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</si>
  <si>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</si>
  <si>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</si>
  <si>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</si>
  <si>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</si>
  <si>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</si>
  <si>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</si>
  <si>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</si>
  <si>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</si>
  <si>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</si>
  <si>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</si>
  <si>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</si>
  <si>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</si>
  <si>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</si>
  <si>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</si>
  <si>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</si>
  <si>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</si>
  <si>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</si>
  <si>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</si>
  <si>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</si>
  <si>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</si>
  <si>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</si>
  <si>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</si>
  <si>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</si>
  <si>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</si>
  <si>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</si>
  <si>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</si>
  <si>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</si>
  <si>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</si>
  <si>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</si>
  <si>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</si>
  <si>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</si>
  <si>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</si>
  <si>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</si>
  <si>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</si>
  <si>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</si>
  <si>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</si>
  <si>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</si>
  <si>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</si>
  <si>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</si>
  <si>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</si>
  <si>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</si>
  <si>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</si>
  <si>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</si>
  <si>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</si>
  <si>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</si>
  <si>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</si>
  <si>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</si>
  <si>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</si>
  <si>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</si>
  <si>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</si>
  <si>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</si>
  <si>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</si>
  <si>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</si>
  <si>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</si>
  <si>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</si>
  <si>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</si>
  <si>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</si>
  <si>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</si>
  <si>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</si>
  <si>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</si>
  <si>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</si>
  <si>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</si>
  <si>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</si>
  <si>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</si>
  <si>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</si>
  <si>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</si>
  <si>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</si>
  <si>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</si>
  <si>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</si>
  <si>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</si>
  <si>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</si>
  <si>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</si>
  <si>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</si>
  <si>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</si>
  <si>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</si>
  <si>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</si>
  <si>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</si>
  <si>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</si>
  <si>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</si>
  <si>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</si>
  <si>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</si>
  <si>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</si>
  <si>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</si>
  <si>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</si>
  <si>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</si>
  <si>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</si>
  <si>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</si>
  <si>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</si>
  <si>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</si>
  <si>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</si>
  <si>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</si>
  <si>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</si>
  <si>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</si>
  <si>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</si>
  <si>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</si>
  <si>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</si>
  <si>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</si>
  <si>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</si>
  <si>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</si>
  <si>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</si>
  <si>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</si>
  <si>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</si>
  <si>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</si>
  <si>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</si>
  <si>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</si>
  <si>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</si>
  <si>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</si>
  <si>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</si>
  <si>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</si>
  <si>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</si>
  <si>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</si>
  <si>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</si>
  <si>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</si>
  <si>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</si>
  <si>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</si>
  <si>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</si>
  <si>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</si>
  <si>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</si>
  <si>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</si>
  <si>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</si>
  <si>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</si>
  <si>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</si>
  <si>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</si>
  <si>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</si>
  <si>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</si>
  <si>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</si>
  <si>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</si>
  <si>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</si>
  <si>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</si>
  <si>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</si>
  <si>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</si>
  <si>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</si>
  <si>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</si>
  <si>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</si>
  <si>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</si>
  <si>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</si>
  <si>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</si>
  <si>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</si>
  <si>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</si>
  <si>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</si>
  <si>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</si>
  <si>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</si>
  <si>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</si>
  <si>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</si>
  <si>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</si>
  <si>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</si>
  <si>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</si>
  <si>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</si>
  <si>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</si>
  <si>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</si>
  <si>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</si>
  <si>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</si>
  <si>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</si>
  <si>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</si>
  <si>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</si>
  <si>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</si>
  <si>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</si>
  <si>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</si>
  <si>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</si>
  <si>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</si>
  <si>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</si>
  <si>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</si>
  <si>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</si>
  <si>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</si>
  <si>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</si>
  <si>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</si>
  <si>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</si>
  <si>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</si>
  <si>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</si>
  <si>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</si>
  <si>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</si>
  <si>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</si>
  <si>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</si>
  <si>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</si>
  <si>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</si>
  <si>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</si>
  <si>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</si>
  <si>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</si>
  <si>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</si>
  <si>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</si>
  <si>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</si>
  <si>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</si>
  <si>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</si>
  <si>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</si>
  <si>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</si>
  <si>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</si>
  <si>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</si>
  <si>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</si>
  <si>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</si>
  <si>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</si>
  <si>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</si>
  <si>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</si>
  <si>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</si>
  <si>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</si>
  <si>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</si>
  <si>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</si>
  <si>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</si>
  <si>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</si>
  <si>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</si>
  <si>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</si>
  <si>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</si>
  <si>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</si>
  <si>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</si>
  <si>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</si>
  <si>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</si>
  <si>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</si>
  <si>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</si>
  <si>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</si>
  <si>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</si>
  <si>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</si>
  <si>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</si>
  <si>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</si>
  <si>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</si>
  <si>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</si>
  <si>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</si>
  <si>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</si>
  <si>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</si>
  <si>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</si>
  <si>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</si>
  <si>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</si>
  <si>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</si>
  <si>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</si>
  <si>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</si>
  <si>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</si>
  <si>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</si>
  <si>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</si>
  <si>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</si>
  <si>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</si>
  <si>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</si>
  <si>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</si>
  <si>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</si>
  <si>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</si>
  <si>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</si>
  <si>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</si>
  <si>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</si>
  <si>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</si>
  <si>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</si>
  <si>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</si>
  <si>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</si>
  <si>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</si>
  <si>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</si>
  <si>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</si>
  <si>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</si>
  <si>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</si>
  <si>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</si>
  <si>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</si>
  <si>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</si>
  <si>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</si>
  <si>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</si>
  <si>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</si>
  <si>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</si>
  <si>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</si>
  <si>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</si>
  <si>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</si>
  <si>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</si>
  <si>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</si>
  <si>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</si>
  <si>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</si>
  <si>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</si>
  <si>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</si>
  <si>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</si>
  <si>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</si>
  <si>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</si>
  <si>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</si>
  <si>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</si>
  <si>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</si>
  <si>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</si>
  <si>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</si>
  <si>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</si>
  <si>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</si>
  <si>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</si>
  <si>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</si>
  <si>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</si>
  <si>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</si>
  <si>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</si>
  <si>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</si>
  <si>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</si>
  <si>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</si>
  <si>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</si>
  <si>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</si>
  <si>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</si>
  <si>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</si>
  <si>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</si>
  <si>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</si>
  <si>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</si>
  <si>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</si>
  <si>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</si>
  <si>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</si>
  <si>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</si>
  <si>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</si>
  <si>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</si>
  <si>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</si>
  <si>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</si>
  <si>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</si>
  <si>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</si>
  <si>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</si>
  <si>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</si>
  <si>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</si>
  <si>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</si>
  <si>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</si>
  <si>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</si>
  <si>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</si>
  <si>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</si>
  <si>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</si>
  <si>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</si>
  <si>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</si>
  <si>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</si>
  <si>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</si>
  <si>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</si>
  <si>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</si>
  <si>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</si>
  <si>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</si>
  <si>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</si>
  <si>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</si>
  <si>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</si>
  <si>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</si>
  <si>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</si>
  <si>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</si>
  <si>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</si>
  <si>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</si>
  <si>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</si>
  <si>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</si>
  <si>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</si>
  <si>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</si>
  <si>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</si>
  <si>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</si>
  <si>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</si>
  <si>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</si>
  <si>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</si>
  <si>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</si>
  <si>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</si>
  <si>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</si>
  <si>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</si>
  <si>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</si>
  <si>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</si>
  <si>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</si>
  <si>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</si>
  <si>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</si>
  <si>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</si>
  <si>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</si>
  <si>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</si>
  <si>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</si>
  <si>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</si>
  <si>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</si>
  <si>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</si>
  <si>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</si>
  <si>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</si>
  <si>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</si>
  <si>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</si>
  <si>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</si>
  <si>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</si>
  <si>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</si>
  <si>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</si>
  <si>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</si>
  <si>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</si>
  <si>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</si>
  <si>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</si>
  <si>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</si>
  <si>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</si>
  <si>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</si>
  <si>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</si>
  <si>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</si>
  <si>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</si>
  <si>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</si>
  <si>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</si>
  <si>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</si>
  <si>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</si>
  <si>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</si>
  <si>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</si>
  <si>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</si>
  <si>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</si>
  <si>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</si>
  <si>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</si>
  <si>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</si>
  <si>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</si>
  <si>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</si>
  <si>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</si>
  <si>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</si>
  <si>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</si>
  <si>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</si>
  <si>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</si>
  <si>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</si>
  <si>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</si>
  <si>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</si>
  <si>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</si>
  <si>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</si>
  <si>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</si>
  <si>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</si>
  <si>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</si>
  <si>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</si>
  <si>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</si>
  <si>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</si>
  <si>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</si>
  <si>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</si>
  <si>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</si>
  <si>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</si>
  <si>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</si>
  <si>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</si>
  <si>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</si>
  <si>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</si>
  <si>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</si>
  <si>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</si>
  <si>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</si>
  <si>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</si>
  <si>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</si>
  <si>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</si>
  <si>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</si>
  <si>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</si>
  <si>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</si>
  <si>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</si>
  <si>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</si>
  <si>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</si>
  <si>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</si>
  <si>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</si>
  <si>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</si>
  <si>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</si>
  <si>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</si>
  <si>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</si>
  <si>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</si>
  <si>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</si>
  <si>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</si>
  <si>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</si>
  <si>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</si>
  <si>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</si>
  <si>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</si>
  <si>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</si>
  <si>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</si>
  <si>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</si>
  <si>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</si>
  <si>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</si>
  <si>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</si>
  <si>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</si>
  <si>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</si>
  <si>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</si>
  <si>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</si>
  <si>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</si>
  <si>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</si>
  <si>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</si>
  <si>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</si>
  <si>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</si>
  <si>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</si>
  <si>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</si>
  <si>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</si>
  <si>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</si>
  <si>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</si>
  <si>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</si>
  <si>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</si>
  <si>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</si>
  <si>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</si>
  <si>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</si>
  <si>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</si>
  <si>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</si>
  <si>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</si>
  <si>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</si>
  <si>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</si>
  <si>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</si>
  <si>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</si>
  <si>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</si>
  <si>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</si>
  <si>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</si>
  <si>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</si>
  <si>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</si>
  <si>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</si>
  <si>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</si>
  <si>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</si>
  <si>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</si>
  <si>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</si>
  <si>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</si>
  <si>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</si>
  <si>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</si>
  <si>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</si>
  <si>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</si>
  <si>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</si>
  <si>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</si>
  <si>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</si>
  <si>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</si>
  <si>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</si>
  <si>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</si>
  <si>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</si>
  <si>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</si>
  <si>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</si>
  <si>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</si>
  <si>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</si>
  <si>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</si>
  <si>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</si>
  <si>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</si>
  <si>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</si>
  <si>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</si>
  <si>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</si>
  <si>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</si>
  <si>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</si>
  <si>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</si>
  <si>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</si>
  <si>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</si>
  <si>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</si>
  <si>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</si>
  <si>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</si>
  <si>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</si>
  <si>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</si>
  <si>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</si>
  <si>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</si>
  <si>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</si>
  <si>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</si>
  <si>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</si>
  <si>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</si>
  <si>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</si>
  <si>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</si>
  <si>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</si>
  <si>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</si>
  <si>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</si>
  <si>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</si>
  <si>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</si>
  <si>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</si>
  <si>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</si>
  <si>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</si>
  <si>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</si>
  <si>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</si>
  <si>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</si>
  <si>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</si>
  <si>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</si>
  <si>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</si>
  <si>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</si>
  <si>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</si>
  <si>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</si>
  <si>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</si>
  <si>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</si>
  <si>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</si>
  <si>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</si>
  <si>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</si>
  <si>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</si>
  <si>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</si>
  <si>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</si>
  <si>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</si>
  <si>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</si>
  <si>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</si>
  <si>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</si>
  <si>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</si>
  <si>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</si>
  <si>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</si>
  <si>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</si>
  <si>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</si>
  <si>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</si>
  <si>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</si>
  <si>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</si>
  <si>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</si>
  <si>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</si>
  <si>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</si>
  <si>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</si>
  <si>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</si>
  <si>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</si>
  <si>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</si>
  <si>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</si>
  <si>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</si>
  <si>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</si>
  <si>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</si>
  <si>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</si>
  <si>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</si>
  <si>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</si>
  <si>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</si>
  <si>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</si>
  <si>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</si>
  <si>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</si>
  <si>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</si>
  <si>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</si>
  <si>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</si>
  <si>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</si>
  <si>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</si>
  <si>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</si>
  <si>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</si>
  <si>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</si>
  <si>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</si>
  <si>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</si>
  <si>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</si>
  <si>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</si>
  <si>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</si>
  <si>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</si>
  <si>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</si>
  <si>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</si>
  <si>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</si>
  <si>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</si>
  <si>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</si>
  <si>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</si>
  <si>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</si>
  <si>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</si>
  <si>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</si>
  <si>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</si>
  <si>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</si>
  <si>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</si>
  <si>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</si>
  <si>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</si>
  <si>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</si>
  <si>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</si>
  <si>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</si>
  <si>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</si>
  <si>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</si>
  <si>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</si>
  <si>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</si>
  <si>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</si>
  <si>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</si>
  <si>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</si>
  <si>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</si>
  <si>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</si>
  <si>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</si>
  <si>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</si>
  <si>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</si>
  <si>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</si>
  <si>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</si>
  <si>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</si>
  <si>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</si>
  <si>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</si>
  <si>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</si>
  <si>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</si>
  <si>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</si>
  <si>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</si>
  <si>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</si>
  <si>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</si>
  <si>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</si>
  <si>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</si>
  <si>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</si>
  <si>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</si>
  <si>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</si>
  <si>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</si>
  <si>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</si>
  <si>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</si>
  <si>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</si>
  <si>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</si>
  <si>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</si>
  <si>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</si>
  <si>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</si>
  <si>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</si>
  <si>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</si>
  <si>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</si>
  <si>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</si>
  <si>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</si>
  <si>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</si>
  <si>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</si>
  <si>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</si>
  <si>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</si>
  <si>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</si>
  <si>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</si>
  <si>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</si>
  <si>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</si>
  <si>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</si>
  <si>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</si>
  <si>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</si>
  <si>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</si>
  <si>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</si>
  <si>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</si>
  <si>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</si>
  <si>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</si>
  <si>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</si>
  <si>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</si>
  <si>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</si>
  <si>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</si>
  <si>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</si>
  <si>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</si>
  <si>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</si>
  <si>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</si>
  <si>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</si>
  <si>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</si>
  <si>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</si>
  <si>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</si>
  <si>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</si>
  <si>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</si>
  <si>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</si>
  <si>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</si>
  <si>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</si>
  <si>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</si>
  <si>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</si>
  <si>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</si>
  <si>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</si>
  <si>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</si>
  <si>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</si>
  <si>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</si>
  <si>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</si>
  <si>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</si>
  <si>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</si>
  <si>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</si>
  <si>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</si>
  <si>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</si>
  <si>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</si>
  <si>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</si>
  <si>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</si>
  <si>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</si>
  <si>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</si>
  <si>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</si>
  <si>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</si>
  <si>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</si>
  <si>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</si>
  <si>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</si>
  <si>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</si>
  <si>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</si>
  <si>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</si>
  <si>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</si>
  <si>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</si>
  <si>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</si>
  <si>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</si>
  <si>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</si>
  <si>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</si>
  <si>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</si>
  <si>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</si>
  <si>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</si>
  <si>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</si>
  <si>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</si>
  <si>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</si>
  <si>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</si>
  <si>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</si>
  <si>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</si>
  <si>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</si>
  <si>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</si>
  <si>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</si>
  <si>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</si>
  <si>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</si>
  <si>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</si>
  <si>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</si>
  <si>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</si>
  <si>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</si>
  <si>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</si>
  <si>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</si>
  <si>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</si>
  <si>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</si>
  <si>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</si>
  <si>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</si>
  <si>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</si>
  <si>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</si>
  <si>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</si>
  <si>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</si>
  <si>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</si>
  <si>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</si>
  <si>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</si>
  <si>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</si>
  <si>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</si>
  <si>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</si>
  <si>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</si>
  <si>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</si>
  <si>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</si>
  <si>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</si>
  <si>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</si>
  <si>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</si>
  <si>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</si>
  <si>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</si>
  <si>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</si>
  <si>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</si>
  <si>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</si>
  <si>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</si>
  <si>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</si>
  <si>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</si>
  <si>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</si>
  <si>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</si>
  <si>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</si>
  <si>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</si>
  <si>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</si>
  <si>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</si>
  <si>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</si>
  <si>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</si>
  <si>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</si>
  <si>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</si>
  <si>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</si>
  <si>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</si>
  <si>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</si>
  <si>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</si>
  <si>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</si>
  <si>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</si>
  <si>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</si>
  <si>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</si>
  <si>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</si>
  <si>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</si>
  <si>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</si>
  <si>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</si>
  <si>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</si>
  <si>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</si>
  <si>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</si>
  <si>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</si>
  <si>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</si>
  <si>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</si>
  <si>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</si>
  <si>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</si>
  <si>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</si>
  <si>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</si>
  <si>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</si>
  <si>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</si>
  <si>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</si>
  <si>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</si>
  <si>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</si>
  <si>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</si>
  <si>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</si>
  <si>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</si>
  <si>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</si>
  <si>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</si>
  <si>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</si>
  <si>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</si>
  <si>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</si>
  <si>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</si>
  <si>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</si>
  <si>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</si>
  <si>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</si>
  <si>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</si>
  <si>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</si>
  <si>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</si>
  <si>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</si>
  <si>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</si>
  <si>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</si>
  <si>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</si>
  <si>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</si>
  <si>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</si>
  <si>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</si>
  <si>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</si>
  <si>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</si>
  <si>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</si>
  <si>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</si>
  <si>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</si>
  <si>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</si>
  <si>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</si>
  <si>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</si>
  <si>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</si>
  <si>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</si>
  <si>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</si>
  <si>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</si>
  <si>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</si>
  <si>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</si>
  <si>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</si>
  <si>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</si>
  <si>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</si>
  <si>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</si>
  <si>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</si>
  <si>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</si>
  <si>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</si>
  <si>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</si>
  <si>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</si>
  <si>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</si>
  <si>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</si>
  <si>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</si>
  <si>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</si>
  <si>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</si>
  <si>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</si>
  <si>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</si>
  <si>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</si>
  <si>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</si>
  <si>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</si>
  <si>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</si>
  <si>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</si>
  <si>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</si>
  <si>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</si>
  <si>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</si>
  <si>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</si>
  <si>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</si>
  <si>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</si>
  <si>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</si>
  <si>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</si>
  <si>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</si>
  <si>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</si>
  <si>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</si>
  <si>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</si>
  <si>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</si>
  <si>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</si>
  <si>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</si>
  <si>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</si>
  <si>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</si>
  <si>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</si>
  <si>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</si>
  <si>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</si>
  <si>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</si>
  <si>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</si>
  <si>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</si>
  <si>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</si>
  <si>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</si>
  <si>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</si>
  <si>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</si>
  <si>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</si>
  <si>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</si>
  <si>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</si>
  <si>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</si>
  <si>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</si>
  <si>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</si>
  <si>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</si>
  <si>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</si>
  <si>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</si>
  <si>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</si>
  <si>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</si>
  <si>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</si>
  <si>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</si>
  <si>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</si>
  <si>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</si>
  <si>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</si>
  <si>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</si>
  <si>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</si>
  <si>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</si>
  <si>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</si>
  <si>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</si>
  <si>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</si>
  <si>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</si>
  <si>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</si>
  <si>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</si>
  <si>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</si>
  <si>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</si>
  <si>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</si>
  <si>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</si>
  <si>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</si>
  <si>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</si>
  <si>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</si>
  <si>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</si>
  <si>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</si>
  <si>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</si>
  <si>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</si>
  <si>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</si>
  <si>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</si>
  <si>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</si>
  <si>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</si>
  <si>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</si>
  <si>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</si>
  <si>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</si>
  <si>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</si>
  <si>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</si>
  <si>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</si>
  <si>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</si>
  <si>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</si>
  <si>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</si>
  <si>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</si>
  <si>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</si>
  <si>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</si>
  <si>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</si>
  <si>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</si>
  <si>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</si>
  <si>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</si>
  <si>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</si>
  <si>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</si>
  <si>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</si>
  <si>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</si>
  <si>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</si>
  <si>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</si>
  <si>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</si>
  <si>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</si>
  <si>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</si>
  <si>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</si>
  <si>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</si>
  <si>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</si>
  <si>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</si>
  <si>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</si>
  <si>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</si>
  <si>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</si>
  <si>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</si>
  <si>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</si>
  <si>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</si>
  <si>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</si>
  <si>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</si>
  <si>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</si>
  <si>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</si>
  <si>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</si>
  <si>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</si>
  <si>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</si>
  <si>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</si>
  <si>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</si>
  <si>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</si>
  <si>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</si>
  <si>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</si>
  <si>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</si>
  <si>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</si>
  <si>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</si>
  <si>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</si>
  <si>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</si>
  <si>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</si>
  <si>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</si>
  <si>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</si>
  <si>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</si>
  <si>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</si>
  <si>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</si>
  <si>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</si>
  <si>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</si>
  <si>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</si>
  <si>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</si>
  <si>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</si>
  <si>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</si>
  <si>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</si>
  <si>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</si>
  <si>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</si>
  <si>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</si>
  <si>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</si>
  <si>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</si>
  <si>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</si>
  <si>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</si>
  <si>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</si>
  <si>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</si>
  <si>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</si>
  <si>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</si>
  <si>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</si>
  <si>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</si>
  <si>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</si>
  <si>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</si>
  <si>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</si>
  <si>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</si>
  <si>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</si>
  <si>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</si>
  <si>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</si>
  <si>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</si>
  <si>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</si>
  <si>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</si>
  <si>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</si>
  <si>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</si>
  <si>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</si>
  <si>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</si>
  <si>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</si>
  <si>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</si>
  <si>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</si>
  <si>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</si>
  <si>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</si>
  <si>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</si>
  <si>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</si>
  <si>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</si>
  <si>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</si>
  <si>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</si>
  <si>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</si>
  <si>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</si>
  <si>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</si>
  <si>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</si>
  <si>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</si>
  <si>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</si>
  <si>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</si>
  <si>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</si>
  <si>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</si>
  <si>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</si>
  <si>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</si>
  <si>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</si>
  <si>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</si>
  <si>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</si>
  <si>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</si>
  <si>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</si>
  <si>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</si>
  <si>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</si>
  <si>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</si>
  <si>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</si>
  <si>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</si>
  <si>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</si>
  <si>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</si>
  <si>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</si>
  <si>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</si>
  <si>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</si>
  <si>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</si>
  <si>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</si>
  <si>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</si>
  <si>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</si>
  <si>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</si>
  <si>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</si>
  <si>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</si>
  <si>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</si>
  <si>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</si>
  <si>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</si>
  <si>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</si>
  <si>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</si>
  <si>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</si>
  <si>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</si>
  <si>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</si>
  <si>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</si>
  <si>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</si>
  <si>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</si>
  <si>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</si>
  <si>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</si>
  <si>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</si>
  <si>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</si>
  <si>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</si>
  <si>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</si>
  <si>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</si>
  <si>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</si>
  <si>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</si>
  <si>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</si>
  <si>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</si>
  <si>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</si>
  <si>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</si>
  <si>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</si>
  <si>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</si>
  <si>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</si>
  <si>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</si>
  <si>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</si>
  <si>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</si>
  <si>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</si>
  <si>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</si>
  <si>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</si>
  <si>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</si>
  <si>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</si>
  <si>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</si>
  <si>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</si>
  <si>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</si>
  <si>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</si>
  <si>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</si>
  <si>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</si>
  <si>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</si>
  <si>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</si>
  <si>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</si>
  <si>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</si>
  <si>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</si>
  <si>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</si>
  <si>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</si>
  <si>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</si>
  <si>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</si>
  <si>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</si>
  <si>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</si>
  <si>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</si>
  <si>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</si>
  <si>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</si>
  <si>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</si>
  <si>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</si>
  <si>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</si>
  <si>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</si>
  <si>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</si>
  <si>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</si>
  <si>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</si>
  <si>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</si>
  <si>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</si>
  <si>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</si>
  <si>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</si>
  <si>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</si>
  <si>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</si>
  <si>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</si>
  <si>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</si>
  <si>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</si>
  <si>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</si>
  <si>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</si>
  <si>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</si>
  <si>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</si>
  <si>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</si>
  <si>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</si>
  <si>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</si>
  <si>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</si>
  <si>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</si>
  <si>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</si>
  <si>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</si>
  <si>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</si>
  <si>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</si>
  <si>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</si>
  <si>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</si>
  <si>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</si>
  <si>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</si>
  <si>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</si>
  <si>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</si>
  <si>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</si>
  <si>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</si>
  <si>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</si>
  <si>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</si>
  <si>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</si>
  <si>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</si>
  <si>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</si>
  <si>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</si>
  <si>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</si>
  <si>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</si>
  <si>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</si>
  <si>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</si>
  <si>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</si>
  <si>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</si>
  <si>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</si>
  <si>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</si>
  <si>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</si>
  <si>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</si>
  <si>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</si>
  <si>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</si>
  <si>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</si>
  <si>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</si>
  <si>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</si>
  <si>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</si>
  <si>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</si>
  <si>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</si>
  <si>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</si>
  <si>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</si>
  <si>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</si>
  <si>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</si>
  <si>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</si>
  <si>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</si>
  <si>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</si>
  <si>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</si>
  <si>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</si>
  <si>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</si>
  <si>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</si>
  <si>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</si>
  <si>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</si>
  <si>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</si>
  <si>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</si>
  <si>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</si>
  <si>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</si>
  <si>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</si>
  <si>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</si>
  <si>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</si>
  <si>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</si>
  <si>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</si>
  <si>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</si>
  <si>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</si>
  <si>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</si>
  <si>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</si>
  <si>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</si>
  <si>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</si>
  <si>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</si>
  <si>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</si>
  <si>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</si>
  <si>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</si>
  <si>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</si>
  <si>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</si>
  <si>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</si>
  <si>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</si>
  <si>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</si>
  <si>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</si>
  <si>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</si>
  <si>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</si>
  <si>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</si>
  <si>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</si>
  <si>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</si>
  <si>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</si>
  <si>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</si>
  <si>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</si>
  <si>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</si>
  <si>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</si>
  <si>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</si>
  <si>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</si>
  <si>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</si>
  <si>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</si>
  <si>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</si>
  <si>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</si>
  <si>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</si>
  <si>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</si>
  <si>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</si>
  <si>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</si>
  <si>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</si>
  <si>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</si>
  <si>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</si>
  <si>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</si>
  <si>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</si>
  <si>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</si>
  <si>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</si>
  <si>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</si>
  <si>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</si>
  <si>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</si>
  <si>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</si>
  <si>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</si>
  <si>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</si>
  <si>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</si>
  <si>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</si>
  <si>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</si>
  <si>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</si>
  <si>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</si>
  <si>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</si>
  <si>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</si>
  <si>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</si>
  <si>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</si>
  <si>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</si>
  <si>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</si>
  <si>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</si>
  <si>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</si>
  <si>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</si>
  <si>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</si>
  <si>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</si>
  <si>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</si>
  <si>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</si>
  <si>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</si>
  <si>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</si>
  <si>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</si>
  <si>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</si>
  <si>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</si>
  <si>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</si>
  <si>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</si>
  <si>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</si>
  <si>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</si>
  <si>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</si>
  <si>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</si>
  <si>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</si>
  <si>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</si>
  <si>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</si>
  <si>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</si>
  <si>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</si>
  <si>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</si>
  <si>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</si>
  <si>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</si>
  <si>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</si>
  <si>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</si>
  <si>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</si>
  <si>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</si>
  <si>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</si>
  <si>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</si>
  <si>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</si>
  <si>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</si>
  <si>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</si>
  <si>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</si>
  <si>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</si>
  <si>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</si>
  <si>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</si>
  <si>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</si>
  <si>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</si>
  <si>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</si>
  <si>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</si>
  <si>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</si>
  <si>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</si>
  <si>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</si>
  <si>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</si>
  <si>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</si>
  <si>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</si>
  <si>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</si>
  <si>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</si>
  <si>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</si>
  <si>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</si>
  <si>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</si>
  <si>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</si>
  <si>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</si>
  <si>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</si>
  <si>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</si>
  <si>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</si>
  <si>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</si>
  <si>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</si>
  <si>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</si>
  <si>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</si>
  <si>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</si>
  <si>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</si>
  <si>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</si>
  <si>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</si>
  <si>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</si>
  <si>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</si>
  <si>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</si>
  <si>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</si>
  <si>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</si>
  <si>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</si>
  <si>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</si>
  <si>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</si>
  <si>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</si>
  <si>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</si>
  <si>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</si>
  <si>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</si>
  <si>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</si>
  <si>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</si>
  <si>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</si>
  <si>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</si>
  <si>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</si>
  <si>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</si>
  <si>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</si>
  <si>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</si>
  <si>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</si>
  <si>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</si>
  <si>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</si>
  <si>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</si>
  <si>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</si>
  <si>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</si>
  <si>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</si>
  <si>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</si>
  <si>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</si>
  <si>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</si>
  <si>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</si>
  <si>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</si>
  <si>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</si>
  <si>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</si>
  <si>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</si>
  <si>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</si>
  <si>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</si>
  <si>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</si>
  <si>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</si>
  <si>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</si>
  <si>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</si>
  <si>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</si>
  <si>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</si>
  <si>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</si>
  <si>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</si>
  <si>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</si>
  <si>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</si>
  <si>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</si>
  <si>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</si>
  <si>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</si>
  <si>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</si>
  <si>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</si>
  <si>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</si>
  <si>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</si>
  <si>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</si>
  <si>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</si>
  <si>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</si>
  <si>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</si>
  <si>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</si>
  <si>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</si>
  <si>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</si>
  <si>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</si>
  <si>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</si>
  <si>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</si>
  <si>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</si>
  <si>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</si>
  <si>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</si>
  <si>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</si>
  <si>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</si>
  <si>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</si>
  <si>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</si>
  <si>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</si>
  <si>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</si>
  <si>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</si>
  <si>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</si>
  <si>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</si>
  <si>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</si>
  <si>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</si>
  <si>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</si>
  <si>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</si>
  <si>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</si>
  <si>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</si>
  <si>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</si>
  <si>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</si>
  <si>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</si>
  <si>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</si>
  <si>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</si>
  <si>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</si>
  <si>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</si>
  <si>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</si>
  <si>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</si>
  <si>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</si>
  <si>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</si>
  <si>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</si>
  <si>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</si>
  <si>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</si>
  <si>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</si>
  <si>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</si>
  <si>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</si>
  <si>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</si>
  <si>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</si>
  <si>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</si>
  <si>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</si>
  <si>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</si>
  <si>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</si>
  <si>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</si>
  <si>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</si>
  <si>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</si>
  <si>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</si>
  <si>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</si>
  <si>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</si>
  <si>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</si>
  <si>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</si>
  <si>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</si>
  <si>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</si>
  <si>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</si>
  <si>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</si>
  <si>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</si>
  <si>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</si>
  <si>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</si>
  <si>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</si>
  <si>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</si>
  <si>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</si>
  <si>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</si>
  <si>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</si>
  <si>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</si>
  <si>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</si>
  <si>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</si>
  <si>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</si>
  <si>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</si>
  <si>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</si>
  <si>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</si>
  <si>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</si>
  <si>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</si>
  <si>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</si>
  <si>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</si>
  <si>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</si>
  <si>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</si>
  <si>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</si>
  <si>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</si>
  <si>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</si>
  <si>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</si>
  <si>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</si>
  <si>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</si>
  <si>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</si>
  <si>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</si>
  <si>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</si>
  <si>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</si>
  <si>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</si>
  <si>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</si>
  <si>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</si>
  <si>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</si>
  <si>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</si>
  <si>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</si>
  <si>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</si>
  <si>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</si>
  <si>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</si>
  <si>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</si>
  <si>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</si>
  <si>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</si>
  <si>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</si>
  <si>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</si>
  <si>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</si>
  <si>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</si>
  <si>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</si>
  <si>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</si>
  <si>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</si>
  <si>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</si>
  <si>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</si>
  <si>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</si>
  <si>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</si>
  <si>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</si>
  <si>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</si>
  <si>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</si>
  <si>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</si>
  <si>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</si>
  <si>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</si>
  <si>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</si>
  <si>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</si>
  <si>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</si>
  <si>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</si>
  <si>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</si>
  <si>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</si>
  <si>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</si>
  <si>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</si>
  <si>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</si>
  <si>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</si>
  <si>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</si>
  <si>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</si>
  <si>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</si>
  <si>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</si>
  <si>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</si>
  <si>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</si>
  <si>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</si>
  <si>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</si>
  <si>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</si>
  <si>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</si>
  <si>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</si>
  <si>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</si>
  <si>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</si>
  <si>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</si>
  <si>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</si>
  <si>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</si>
  <si>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</si>
  <si>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</si>
  <si>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</si>
  <si>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</si>
  <si>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</si>
  <si>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</si>
  <si>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</si>
  <si>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</si>
  <si>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</si>
  <si>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</si>
  <si>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</si>
  <si>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</si>
  <si>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</si>
  <si>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</si>
  <si>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</si>
  <si>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</si>
  <si>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</si>
  <si>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</si>
  <si>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</si>
  <si>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</si>
  <si>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</si>
  <si>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</si>
  <si>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</si>
  <si>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</si>
  <si>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</si>
  <si>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</si>
  <si>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</si>
  <si>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</si>
  <si>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</si>
  <si>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</si>
  <si>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</si>
  <si>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</si>
  <si>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</si>
  <si>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</si>
  <si>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</si>
  <si>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</si>
  <si>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</si>
  <si>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</si>
  <si>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</si>
  <si>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</si>
  <si>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</si>
  <si>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</si>
  <si>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</si>
  <si>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</si>
  <si>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</si>
  <si>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</si>
  <si>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</si>
  <si>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</si>
  <si>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</si>
  <si>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</si>
  <si>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</si>
  <si>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</si>
  <si>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</si>
  <si>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</si>
  <si>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</si>
  <si>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</si>
  <si>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</si>
  <si>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</si>
  <si>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</si>
  <si>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</si>
  <si>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</si>
  <si>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</si>
  <si>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</si>
  <si>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</si>
  <si>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</si>
  <si>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</si>
  <si>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</si>
  <si>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</si>
  <si>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</si>
  <si>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</si>
  <si>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</si>
  <si>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</si>
  <si>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</si>
  <si>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</si>
  <si>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</si>
  <si>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</si>
  <si>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</si>
  <si>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</si>
  <si>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</si>
  <si>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</si>
  <si>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</si>
  <si>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</si>
  <si>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</si>
  <si>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</si>
  <si>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</si>
  <si>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</si>
  <si>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</si>
  <si>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</si>
  <si>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</si>
  <si>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</si>
  <si>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</si>
  <si>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</si>
  <si>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</si>
  <si>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</si>
  <si>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</si>
  <si>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</si>
  <si>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</si>
  <si>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</si>
  <si>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</si>
  <si>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</si>
  <si>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</si>
  <si>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</si>
  <si>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</si>
  <si>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</si>
  <si>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</si>
  <si>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</si>
  <si>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</si>
  <si>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</si>
  <si>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</si>
  <si>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</si>
  <si>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</si>
  <si>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</si>
  <si>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</si>
  <si>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</si>
  <si>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</si>
  <si>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</si>
  <si>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</si>
  <si>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</si>
  <si>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</si>
  <si>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</si>
  <si>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</si>
  <si>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</si>
  <si>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</si>
  <si>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</si>
  <si>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</si>
  <si>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</si>
  <si>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</si>
  <si>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</si>
  <si>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</si>
  <si>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</si>
  <si>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</si>
  <si>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</si>
  <si>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</si>
  <si>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</si>
  <si>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</si>
  <si>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</si>
  <si>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</si>
  <si>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</si>
  <si>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</si>
  <si>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</si>
  <si>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</si>
  <si>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</si>
  <si>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</si>
  <si>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</si>
  <si>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</si>
  <si>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</si>
  <si>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</si>
  <si>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</si>
  <si>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</si>
  <si>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</si>
  <si>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</si>
  <si>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</si>
  <si>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</si>
  <si>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</si>
  <si>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</si>
  <si>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</si>
  <si>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</si>
  <si>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</si>
  <si>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</si>
  <si>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</si>
  <si>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</si>
  <si>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</si>
  <si>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</si>
  <si>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</si>
  <si>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</si>
  <si>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</si>
  <si>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</si>
  <si>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</si>
  <si>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</si>
  <si>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</si>
  <si>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</si>
  <si>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</si>
  <si>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</si>
  <si>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</si>
  <si>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</si>
  <si>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</si>
  <si>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</si>
  <si>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</si>
  <si>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</si>
  <si>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</si>
  <si>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</si>
  <si>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</si>
  <si>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</si>
  <si>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</si>
  <si>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</si>
  <si>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</si>
  <si>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</si>
  <si>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</si>
  <si>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</si>
  <si>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</si>
  <si>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</si>
  <si>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</si>
  <si>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</si>
  <si>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</si>
  <si>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</si>
  <si>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</si>
  <si>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</si>
  <si>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</si>
  <si>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</si>
  <si>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</si>
  <si>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</si>
  <si>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</si>
  <si>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</si>
  <si>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</si>
  <si>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</si>
  <si>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</si>
  <si>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</si>
  <si>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</si>
  <si>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</si>
  <si>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</si>
  <si>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</si>
  <si>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</si>
  <si>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</si>
  <si>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</si>
  <si>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</si>
  <si>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</si>
  <si>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</si>
  <si>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</si>
  <si>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</si>
  <si>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</si>
  <si>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</si>
  <si>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</si>
  <si>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</si>
  <si>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</si>
  <si>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</si>
  <si>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</si>
  <si>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</si>
  <si>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</si>
  <si>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</si>
  <si>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</si>
  <si>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</si>
  <si>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</si>
  <si>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</si>
  <si>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</si>
  <si>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</si>
  <si>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</si>
  <si>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</si>
  <si>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</si>
  <si>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</si>
  <si>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</si>
  <si>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</si>
  <si>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</si>
  <si>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</si>
  <si>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</si>
  <si>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</si>
  <si>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</si>
  <si>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</si>
  <si>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</si>
  <si>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</si>
  <si>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</si>
  <si>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</si>
  <si>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</si>
  <si>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</si>
  <si>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</si>
  <si>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</si>
  <si>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</si>
  <si>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</si>
  <si>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</si>
  <si>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</si>
  <si>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</si>
  <si>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</si>
  <si>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</si>
  <si>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</si>
  <si>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</si>
  <si>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</si>
  <si>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</si>
  <si>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</si>
  <si>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</si>
  <si>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</si>
  <si>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</si>
  <si>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</si>
  <si>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</si>
  <si>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</si>
  <si>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</si>
  <si>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</si>
  <si>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</si>
  <si>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</si>
  <si>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</si>
  <si>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</si>
  <si>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</si>
  <si>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</si>
  <si>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</si>
  <si>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</si>
  <si>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</si>
  <si>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</si>
  <si>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</si>
  <si>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</si>
  <si>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</si>
  <si>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</si>
  <si>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</si>
  <si>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</si>
  <si>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</si>
  <si>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</si>
  <si>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</si>
  <si>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</si>
  <si>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</si>
  <si>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</si>
  <si>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</si>
  <si>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</si>
  <si>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</si>
  <si>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</si>
  <si>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</si>
  <si>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</si>
  <si>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</si>
  <si>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</si>
  <si>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</si>
  <si>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</si>
  <si>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</si>
  <si>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</si>
  <si>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</si>
  <si>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</si>
  <si>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</si>
  <si>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</si>
  <si>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</si>
  <si>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</si>
  <si>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</si>
  <si>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</si>
  <si>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</si>
  <si>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</si>
  <si>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</si>
  <si>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</si>
  <si>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</si>
  <si>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</si>
  <si>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</si>
  <si>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</si>
  <si>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</si>
  <si>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</si>
  <si>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</si>
  <si>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</si>
  <si>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</si>
  <si>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</si>
  <si>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</si>
  <si>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</si>
  <si>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</si>
  <si>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</si>
  <si>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</si>
  <si>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</si>
  <si>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</si>
  <si>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</si>
  <si>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</si>
  <si>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</si>
  <si>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</si>
  <si>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</si>
  <si>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</si>
  <si>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</si>
  <si>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</si>
  <si>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</si>
  <si>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</si>
  <si>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</si>
  <si>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</si>
  <si>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</si>
  <si>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</si>
  <si>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</si>
  <si>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</si>
  <si>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</si>
  <si>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</si>
  <si>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</si>
  <si>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</si>
  <si>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</si>
  <si>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</si>
  <si>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</si>
  <si>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</si>
  <si>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</si>
  <si>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</si>
  <si>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</si>
  <si>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</si>
  <si>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</si>
  <si>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</si>
  <si>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</si>
  <si>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</si>
  <si>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</si>
  <si>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</si>
  <si>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</si>
  <si>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</si>
  <si>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</si>
  <si>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</si>
  <si>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</si>
  <si>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</si>
  <si>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</si>
  <si>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</si>
  <si>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</si>
  <si>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</si>
  <si>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</si>
  <si>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</si>
  <si>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</si>
  <si>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</si>
  <si>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</si>
  <si>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</si>
  <si>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</si>
  <si>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</si>
  <si>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</si>
  <si>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</si>
  <si>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</si>
  <si>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</si>
  <si>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</si>
  <si>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</si>
  <si>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</si>
  <si>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</si>
  <si>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</si>
  <si>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</si>
  <si>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</si>
  <si>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</si>
  <si>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</si>
  <si>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</si>
  <si>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</si>
  <si>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</si>
  <si>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</si>
  <si>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</si>
  <si>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</si>
  <si>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</si>
  <si>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</si>
  <si>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</si>
  <si>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</si>
  <si>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</si>
  <si>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</si>
  <si>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</si>
  <si>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</si>
  <si>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</si>
  <si>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</si>
  <si>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</si>
  <si>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</si>
  <si>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</si>
  <si>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</si>
  <si>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</si>
  <si>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</si>
  <si>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</si>
  <si>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</si>
  <si>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</si>
  <si>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</si>
  <si>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</si>
  <si>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</si>
  <si>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</si>
  <si>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</si>
  <si>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</si>
  <si>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</si>
  <si>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</si>
  <si>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</si>
  <si>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</si>
  <si>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</si>
  <si>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</si>
  <si>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</si>
  <si>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</si>
  <si>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</si>
  <si>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</si>
  <si>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</si>
  <si>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</si>
  <si>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</si>
  <si>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</si>
  <si>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</si>
  <si>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</si>
  <si>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</si>
  <si>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</si>
  <si>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</si>
  <si>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</si>
  <si>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</si>
  <si>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</si>
  <si>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</si>
  <si>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</si>
  <si>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</si>
  <si>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</si>
  <si>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</si>
  <si>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</si>
  <si>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</si>
  <si>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</si>
  <si>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</si>
  <si>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</si>
  <si>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</si>
  <si>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</si>
  <si>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</si>
  <si>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</si>
  <si>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</si>
  <si>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</si>
  <si>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</si>
  <si>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</si>
  <si>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</si>
  <si>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</si>
  <si>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</si>
  <si>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</si>
  <si>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</si>
  <si>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</si>
  <si>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</si>
  <si>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</si>
  <si>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</si>
  <si>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</si>
  <si>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</si>
  <si>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</si>
  <si>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</si>
  <si>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</si>
  <si>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</si>
  <si>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</si>
  <si>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</si>
  <si>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</si>
  <si>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</si>
  <si>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</si>
  <si>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</si>
  <si>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</si>
  <si>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</si>
  <si>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</si>
  <si>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</si>
  <si>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</si>
  <si>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</si>
  <si>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</si>
  <si>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</si>
  <si>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</si>
  <si>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</si>
  <si>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</si>
  <si>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</si>
  <si>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</si>
  <si>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</si>
  <si>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</si>
  <si>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</si>
  <si>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</si>
  <si>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</si>
  <si>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</si>
  <si>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</si>
  <si>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</si>
  <si>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</si>
  <si>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</si>
  <si>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</si>
  <si>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</si>
  <si>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</si>
  <si>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</si>
  <si>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</si>
  <si>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</si>
  <si>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</si>
  <si>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</si>
  <si>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</si>
  <si>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</si>
  <si>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</si>
  <si>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</si>
  <si>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</si>
  <si>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</si>
  <si>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</si>
  <si>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</si>
  <si>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</si>
  <si>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</si>
  <si>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</si>
  <si>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</si>
  <si>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</si>
  <si>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</si>
  <si>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</si>
  <si>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</si>
  <si>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</si>
  <si>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</si>
  <si>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</si>
  <si>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</si>
  <si>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</si>
  <si>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</si>
  <si>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</si>
  <si>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</si>
  <si>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</si>
  <si>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</si>
  <si>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</si>
  <si>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</si>
  <si>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</si>
  <si>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</si>
  <si>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</si>
  <si>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</si>
  <si>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</si>
  <si>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</si>
  <si>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</si>
  <si>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</si>
  <si>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</si>
  <si>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</si>
  <si>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</si>
  <si>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</si>
  <si>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</si>
  <si>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</si>
  <si>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</si>
  <si>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</si>
  <si>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</si>
  <si>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</si>
  <si>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</si>
  <si>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</si>
  <si>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</si>
  <si>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</si>
  <si>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</si>
  <si>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</si>
  <si>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</si>
  <si>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</si>
  <si>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</si>
  <si>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</si>
  <si>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</si>
  <si>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</si>
  <si>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</si>
  <si>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</si>
  <si>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</si>
  <si>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</si>
  <si>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</si>
  <si>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</si>
  <si>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</si>
  <si>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</si>
  <si>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</si>
  <si>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</si>
  <si>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</si>
  <si>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</si>
  <si>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</si>
  <si>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</si>
  <si>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</si>
  <si>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</si>
  <si>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</si>
  <si>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</si>
  <si>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</si>
  <si>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</si>
  <si>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</si>
  <si>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</si>
  <si>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</si>
  <si>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</si>
  <si>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</si>
  <si>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</si>
  <si>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</si>
  <si>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</si>
  <si>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</si>
  <si>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</si>
  <si>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</si>
  <si>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</si>
  <si>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</si>
  <si>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</si>
  <si>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</si>
  <si>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</si>
  <si>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</si>
  <si>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</si>
  <si>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</si>
  <si>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</si>
  <si>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</si>
  <si>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</si>
  <si>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</si>
  <si>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</si>
  <si>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</si>
  <si>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</si>
  <si>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</si>
  <si>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</si>
  <si>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</si>
  <si>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</si>
  <si>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</si>
  <si>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</si>
  <si>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</si>
  <si>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</si>
  <si>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</si>
  <si>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</si>
  <si>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</si>
  <si>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</si>
  <si>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</si>
  <si>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</si>
  <si>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</si>
  <si>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</si>
  <si>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</si>
  <si>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</si>
  <si>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</si>
  <si>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</si>
  <si>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</si>
  <si>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</si>
  <si>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</si>
  <si>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</si>
  <si>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</si>
  <si>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</si>
  <si>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</si>
  <si>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</si>
  <si>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</si>
  <si>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</si>
  <si>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</si>
  <si>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</si>
  <si>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</si>
  <si>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</si>
  <si>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</si>
  <si>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</si>
  <si>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</si>
  <si>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</si>
  <si>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</si>
  <si>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</si>
  <si>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</si>
  <si>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</si>
  <si>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</si>
  <si>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</si>
  <si>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</si>
  <si>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</si>
  <si>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</si>
  <si>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</si>
  <si>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</si>
  <si>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</si>
  <si>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</si>
  <si>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</si>
  <si>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</si>
  <si>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</si>
  <si>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</si>
  <si>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</si>
  <si>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</si>
  <si>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</si>
  <si>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</si>
  <si>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</si>
  <si>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</si>
  <si>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</si>
  <si>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</si>
  <si>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</si>
  <si>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</si>
  <si>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</si>
  <si>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</si>
  <si>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</si>
  <si>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</si>
  <si>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</si>
  <si>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</si>
  <si>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</si>
  <si>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</si>
  <si>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</si>
  <si>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</si>
  <si>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</si>
  <si>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</si>
  <si>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</si>
  <si>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</si>
  <si>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</si>
  <si>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</si>
  <si>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</si>
  <si>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</si>
  <si>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</si>
  <si>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</si>
  <si>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</si>
  <si>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</si>
  <si>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</si>
  <si>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</si>
  <si>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</si>
  <si>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</si>
  <si>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</si>
  <si>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</si>
  <si>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</si>
  <si>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</si>
  <si>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</si>
  <si>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</si>
  <si>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</si>
  <si>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</si>
  <si>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</si>
  <si>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</si>
  <si>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</si>
  <si>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</si>
  <si>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</si>
  <si>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</si>
  <si>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</si>
  <si>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</si>
  <si>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</si>
  <si>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</si>
  <si>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</si>
  <si>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</si>
  <si>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</si>
  <si>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</si>
  <si>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</si>
  <si>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</si>
  <si>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</si>
  <si>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</si>
  <si>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</si>
  <si>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</si>
  <si>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</si>
  <si>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</si>
  <si>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</si>
  <si>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</si>
  <si>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</si>
  <si>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</si>
  <si>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</si>
  <si>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</si>
  <si>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</si>
  <si>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</si>
  <si>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</si>
  <si>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</si>
  <si>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</si>
  <si>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</si>
  <si>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</si>
  <si>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</si>
  <si>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</si>
  <si>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</si>
  <si>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</si>
  <si>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</si>
  <si>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</si>
  <si>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</si>
  <si>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</si>
  <si>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</si>
  <si>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</si>
  <si>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</si>
  <si>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</si>
  <si>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</si>
  <si>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</si>
  <si>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</si>
  <si>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</si>
  <si>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</si>
  <si>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</si>
  <si>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</si>
  <si>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</si>
  <si>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</si>
  <si>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</si>
  <si>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</si>
  <si>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</si>
  <si>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</si>
  <si>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</si>
  <si>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</si>
  <si>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</si>
  <si>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</si>
  <si>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</si>
  <si>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</si>
  <si>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</si>
  <si>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</si>
  <si>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</si>
  <si>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</si>
  <si>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</si>
  <si>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</si>
  <si>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</si>
  <si>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</si>
  <si>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</si>
  <si>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</si>
  <si>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</si>
  <si>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</si>
  <si>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</si>
  <si>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</si>
  <si>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</si>
  <si>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</si>
  <si>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</si>
  <si>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</si>
  <si>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</si>
  <si>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</si>
  <si>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</si>
  <si>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</si>
  <si>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</si>
  <si>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</si>
  <si>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</si>
  <si>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</si>
  <si>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</si>
  <si>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</si>
  <si>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</si>
  <si>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</si>
  <si>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</si>
  <si>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</si>
  <si>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</si>
  <si>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</si>
  <si>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</si>
  <si>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</si>
  <si>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</si>
  <si>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</si>
  <si>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</si>
  <si>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</si>
  <si>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</si>
  <si>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</si>
  <si>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</si>
  <si>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</si>
  <si>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</si>
  <si>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</si>
  <si>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</si>
  <si>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</si>
  <si>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</si>
  <si>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</si>
  <si>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</si>
  <si>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</si>
  <si>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</si>
  <si>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</si>
  <si>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</si>
  <si>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</si>
  <si>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</si>
  <si>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</si>
  <si>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</si>
  <si>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</si>
  <si>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</si>
  <si>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</si>
  <si>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</si>
  <si>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</si>
  <si>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</si>
  <si>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</si>
  <si>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</si>
  <si>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</si>
  <si>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</si>
  <si>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</si>
  <si>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</si>
  <si>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</si>
  <si>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</si>
  <si>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</si>
  <si>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</si>
  <si>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</si>
  <si>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</si>
  <si>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</si>
  <si>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</si>
  <si>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</si>
  <si>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</si>
  <si>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</si>
  <si>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</si>
  <si>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</si>
  <si>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</si>
  <si>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</si>
  <si>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</si>
  <si>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</si>
  <si>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</si>
  <si>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</si>
  <si>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</si>
  <si>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</si>
  <si>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</si>
  <si>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</si>
  <si>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</si>
  <si>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</si>
  <si>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</si>
  <si>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</si>
  <si>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</si>
  <si>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</si>
  <si>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</si>
  <si>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</si>
  <si>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</si>
  <si>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</si>
  <si>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</si>
  <si>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</si>
  <si>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</si>
  <si>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</si>
  <si>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</si>
  <si>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</si>
  <si>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</si>
  <si>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</si>
  <si>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</si>
  <si>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</si>
  <si>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</si>
  <si>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</si>
  <si>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</si>
  <si>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</si>
  <si>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</si>
  <si>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</si>
  <si>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</si>
  <si>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</si>
  <si>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</si>
  <si>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</si>
  <si>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</si>
  <si>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</si>
  <si>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</si>
  <si>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</si>
  <si>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</si>
  <si>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</si>
  <si>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</si>
  <si>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</si>
  <si>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</si>
  <si>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</si>
  <si>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</si>
  <si>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</si>
  <si>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</si>
  <si>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</si>
  <si>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</si>
  <si>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</si>
  <si>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</si>
  <si>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</si>
  <si>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</si>
  <si>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</si>
  <si>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</si>
  <si>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</si>
  <si>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</si>
  <si>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</si>
  <si>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</si>
  <si>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</si>
  <si>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</si>
  <si>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</si>
  <si>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</si>
  <si>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</si>
  <si>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</si>
  <si>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</si>
  <si>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</si>
  <si>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</si>
  <si>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</si>
  <si>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</si>
  <si>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</si>
  <si>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</si>
  <si>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</si>
  <si>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</si>
  <si>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</si>
  <si>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</si>
  <si>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</si>
  <si>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</si>
  <si>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</si>
  <si>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</si>
  <si>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</si>
  <si>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</si>
  <si>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</si>
  <si>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</si>
  <si>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</si>
  <si>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</si>
  <si>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</si>
  <si>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</si>
  <si>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</si>
  <si>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</si>
  <si>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</si>
  <si>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</si>
  <si>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</si>
  <si>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</si>
  <si>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</si>
  <si>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</si>
  <si>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</si>
  <si>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</si>
  <si>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</si>
  <si>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</si>
  <si>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</si>
  <si>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</si>
  <si>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</si>
  <si>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</si>
  <si>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</si>
  <si>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</si>
  <si>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</si>
  <si>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</si>
  <si>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</si>
  <si>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</si>
  <si>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</si>
  <si>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</si>
  <si>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</si>
  <si>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</si>
  <si>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</si>
  <si>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</si>
  <si>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</si>
  <si>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</si>
  <si>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</si>
  <si>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</si>
  <si>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</si>
  <si>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</si>
  <si>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</si>
  <si>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</si>
  <si>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</si>
  <si>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</si>
  <si>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</si>
  <si>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</si>
  <si>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</si>
  <si>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</si>
  <si>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</si>
  <si>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</si>
  <si>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</si>
  <si>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</si>
  <si>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</si>
  <si>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</si>
  <si>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</si>
  <si>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</si>
  <si>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</si>
  <si>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</si>
  <si>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</si>
  <si>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</si>
  <si>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</si>
  <si>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</si>
  <si>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</si>
  <si>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</si>
  <si>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</si>
  <si>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</si>
  <si>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</si>
  <si>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</si>
  <si>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</si>
  <si>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</si>
  <si>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</si>
  <si>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</si>
  <si>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</si>
  <si>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</si>
  <si>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</si>
  <si>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</si>
  <si>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</si>
  <si>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</si>
  <si>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</si>
  <si>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</si>
  <si>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</si>
  <si>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</si>
  <si>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</si>
  <si>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</si>
  <si>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</si>
  <si>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</si>
  <si>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</si>
  <si>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</si>
  <si>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</si>
  <si>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</si>
  <si>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</si>
  <si>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</si>
  <si>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</si>
  <si>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</si>
  <si>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</si>
  <si>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</si>
  <si>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</si>
  <si>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</si>
  <si>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</si>
  <si>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</si>
  <si>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</si>
  <si>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</si>
  <si>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</si>
  <si>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</si>
  <si>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</si>
  <si>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</si>
  <si>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</si>
  <si>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</si>
  <si>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</si>
  <si>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</si>
  <si>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</si>
  <si>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</si>
  <si>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</si>
  <si>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</si>
  <si>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</si>
  <si>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</si>
  <si>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</si>
  <si>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</si>
  <si>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</si>
  <si>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</si>
  <si>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</si>
  <si>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</si>
  <si>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</si>
  <si>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</si>
  <si>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</si>
  <si>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</si>
  <si>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</si>
  <si>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</si>
  <si>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</si>
  <si>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</si>
  <si>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</si>
  <si>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</si>
  <si>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</si>
  <si>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</si>
  <si>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</si>
  <si>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</si>
  <si>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</si>
  <si>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</si>
  <si>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</si>
  <si>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</si>
  <si>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</si>
  <si>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</si>
  <si>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</si>
  <si>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</si>
  <si>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</si>
  <si>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</si>
  <si>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</si>
  <si>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</si>
  <si>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</si>
  <si>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</si>
  <si>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</si>
  <si>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</si>
  <si>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</si>
  <si>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</si>
  <si>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</si>
  <si>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</si>
  <si>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</si>
  <si>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</si>
  <si>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</si>
  <si>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</si>
  <si>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</si>
  <si>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</si>
  <si>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</si>
  <si>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</si>
  <si>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</si>
  <si>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</si>
  <si>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</si>
  <si>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</si>
  <si>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</si>
  <si>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</si>
  <si>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</si>
  <si>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</si>
  <si>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</si>
  <si>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</si>
  <si>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</si>
  <si>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</si>
  <si>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</si>
  <si>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</si>
  <si>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</si>
  <si>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</si>
  <si>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</si>
  <si>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</si>
  <si>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</si>
  <si>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</si>
  <si>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</si>
  <si>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</si>
  <si>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</si>
  <si>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</si>
  <si>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</si>
  <si>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</si>
  <si>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</si>
  <si>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</si>
  <si>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</si>
  <si>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</si>
  <si>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</si>
  <si>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</si>
  <si>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</si>
  <si>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</si>
  <si>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</si>
  <si>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</si>
  <si>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</si>
  <si>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</si>
  <si>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</si>
  <si>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</si>
  <si>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</si>
  <si>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</si>
  <si>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</si>
  <si>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</si>
  <si>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</si>
  <si>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</si>
  <si>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</si>
  <si>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</si>
  <si>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</si>
  <si>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</si>
  <si>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</si>
  <si>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</si>
  <si>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</si>
  <si>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</si>
  <si>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</si>
  <si>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</si>
  <si>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</si>
  <si>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</si>
  <si>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</si>
  <si>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</si>
  <si>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</si>
  <si>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</si>
  <si>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</si>
  <si>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</si>
  <si>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</si>
  <si>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</si>
  <si>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</si>
  <si>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</si>
  <si>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</si>
  <si>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</si>
  <si>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</si>
  <si>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</si>
  <si>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</si>
  <si>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</si>
  <si>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</si>
  <si>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</si>
  <si>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</si>
  <si>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</si>
  <si>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</si>
  <si>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</si>
  <si>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</si>
  <si>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</si>
  <si>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</si>
  <si>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</si>
  <si>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</si>
  <si>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</si>
  <si>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</si>
  <si>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</si>
  <si>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</si>
  <si>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</si>
  <si>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</si>
  <si>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</si>
  <si>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</si>
  <si>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</si>
  <si>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</si>
  <si>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</si>
  <si>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</si>
  <si>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</si>
  <si>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</si>
  <si>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</si>
  <si>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</si>
  <si>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</si>
  <si>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</si>
  <si>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</si>
  <si>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</si>
  <si>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</si>
  <si>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</si>
  <si>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</si>
  <si>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</si>
  <si>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</si>
  <si>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</si>
  <si>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</si>
  <si>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</si>
  <si>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</si>
  <si>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</si>
  <si>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</si>
  <si>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</si>
  <si>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</si>
  <si>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</si>
  <si>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</si>
  <si>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</si>
  <si>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</si>
  <si>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</si>
  <si>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</si>
  <si>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</si>
  <si>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</si>
  <si>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</si>
  <si>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</si>
  <si>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</si>
  <si>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</si>
  <si>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</si>
  <si>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</si>
  <si>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</si>
  <si>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</si>
  <si>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</si>
  <si>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</si>
  <si>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</si>
  <si>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</si>
  <si>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</si>
  <si>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</si>
  <si>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</si>
  <si>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</si>
  <si>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</si>
  <si>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</si>
  <si>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</si>
  <si>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</si>
  <si>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</si>
  <si>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</si>
  <si>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</si>
  <si>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</si>
  <si>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</si>
  <si>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</si>
  <si>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</si>
  <si>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</si>
  <si>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</si>
  <si>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</si>
  <si>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</si>
  <si>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</si>
  <si>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</si>
  <si>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</si>
  <si>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</si>
  <si>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</si>
  <si>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</si>
  <si>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</si>
  <si>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</si>
  <si>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</si>
  <si>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</si>
  <si>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</si>
  <si>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</si>
  <si>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</si>
  <si>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</si>
  <si>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</si>
  <si>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</si>
  <si>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</si>
  <si>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</si>
  <si>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</si>
  <si>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</si>
  <si>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</si>
  <si>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</si>
  <si>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</si>
  <si>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</si>
  <si>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</si>
  <si>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</si>
  <si>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</si>
  <si>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</si>
  <si>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</si>
  <si>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</si>
  <si>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</si>
  <si>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</si>
  <si>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</si>
  <si>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</si>
  <si>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</si>
  <si>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</si>
  <si>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</si>
  <si>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</si>
  <si>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</si>
  <si>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</si>
  <si>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</si>
  <si>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</si>
  <si>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</si>
  <si>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</si>
  <si>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</si>
  <si>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</si>
  <si>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</si>
  <si>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</si>
  <si>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</si>
  <si>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</si>
  <si>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</si>
  <si>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</si>
  <si>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</si>
  <si>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</si>
  <si>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</si>
  <si>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</si>
  <si>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</si>
  <si>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</si>
  <si>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</si>
  <si>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</si>
  <si>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</si>
  <si>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</si>
  <si>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</si>
  <si>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</si>
  <si>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</si>
  <si>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</si>
  <si>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</si>
  <si>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</si>
  <si>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</si>
  <si>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</si>
  <si>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</si>
  <si>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</si>
  <si>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</si>
  <si>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</si>
  <si>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</si>
  <si>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</si>
  <si>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</si>
  <si>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</si>
  <si>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</si>
  <si>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</si>
  <si>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</si>
  <si>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</si>
  <si>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</si>
  <si>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</si>
  <si>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</si>
  <si>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</si>
  <si>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</si>
  <si>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</si>
  <si>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</si>
  <si>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</si>
  <si>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</si>
  <si>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</si>
  <si>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</si>
  <si>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</si>
  <si>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</si>
  <si>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</si>
  <si>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</si>
  <si>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</si>
  <si>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</si>
  <si>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</si>
  <si>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</si>
  <si>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</si>
  <si>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</si>
  <si>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</si>
  <si>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</si>
  <si>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</si>
  <si>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</si>
  <si>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</si>
  <si>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</si>
  <si>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</si>
  <si>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</si>
  <si>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</si>
  <si>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</si>
  <si>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</si>
  <si>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</si>
  <si>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</si>
  <si>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</si>
  <si>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</si>
  <si>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</si>
  <si>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</si>
  <si>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</si>
  <si>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</si>
  <si>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</si>
  <si>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</si>
  <si>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</si>
  <si>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</si>
  <si>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</si>
  <si>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</si>
  <si>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</si>
  <si>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</si>
  <si>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</si>
  <si>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</si>
  <si>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</si>
  <si>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</si>
  <si>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</si>
  <si>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</si>
  <si>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</si>
  <si>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</si>
  <si>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</si>
  <si>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</si>
  <si>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</si>
  <si>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</si>
  <si>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</si>
  <si>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</si>
  <si>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</si>
  <si>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</si>
  <si>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</si>
  <si>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</si>
  <si>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</si>
  <si>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</si>
  <si>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</si>
  <si>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</si>
  <si>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</si>
  <si>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</si>
  <si>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</si>
  <si>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</si>
  <si>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</si>
  <si>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</si>
  <si>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</si>
  <si>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</si>
  <si>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</si>
  <si>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</si>
  <si>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</si>
  <si>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</si>
  <si>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</si>
  <si>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</si>
  <si>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</si>
  <si>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</si>
  <si>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</si>
  <si>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</si>
  <si>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</si>
  <si>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</si>
  <si>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</si>
  <si>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</si>
  <si>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</si>
  <si>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</si>
  <si>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</si>
  <si>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</si>
  <si>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</si>
  <si>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</si>
  <si>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</si>
  <si>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</si>
  <si>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</si>
  <si>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</si>
  <si>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</si>
  <si>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</si>
  <si>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</si>
  <si>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</si>
  <si>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</si>
  <si>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</si>
  <si>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</si>
  <si>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</si>
  <si>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</si>
  <si>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</si>
  <si>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</si>
  <si>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</si>
  <si>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</si>
  <si>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</si>
  <si>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</si>
  <si>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</si>
  <si>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</si>
  <si>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</si>
  <si>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</si>
  <si>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</si>
  <si>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</si>
  <si>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</si>
  <si>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</si>
  <si>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</si>
  <si>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</si>
  <si>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</si>
  <si>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</si>
  <si>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</si>
  <si>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</si>
  <si>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</si>
  <si>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</si>
  <si>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</si>
  <si>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</si>
  <si>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</si>
  <si>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</si>
  <si>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</si>
  <si>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</si>
  <si>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</si>
  <si>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</si>
  <si>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</si>
  <si>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</si>
  <si>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</si>
  <si>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</si>
  <si>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</si>
  <si>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</si>
  <si>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</si>
  <si>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</si>
  <si>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</si>
  <si>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</si>
  <si>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</si>
  <si>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</si>
  <si>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</si>
  <si>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</si>
  <si>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</si>
  <si>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</si>
  <si>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</si>
  <si>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</si>
  <si>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</si>
  <si>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</si>
  <si>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</si>
  <si>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</si>
  <si>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</si>
  <si>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</si>
  <si>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</si>
  <si>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</si>
  <si>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</si>
  <si>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</si>
  <si>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</si>
  <si>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</si>
  <si>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</si>
  <si>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</si>
  <si>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</si>
  <si>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</si>
  <si>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</si>
  <si>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</si>
  <si>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</si>
  <si>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</si>
  <si>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</si>
  <si>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</si>
  <si>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</si>
  <si>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</si>
  <si>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</si>
  <si>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</si>
  <si>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</si>
  <si>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</si>
  <si>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</si>
  <si>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</si>
  <si>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</si>
  <si>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</si>
  <si>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</si>
  <si>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</si>
  <si>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</si>
  <si>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</si>
  <si>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</si>
  <si>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</si>
  <si>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</si>
  <si>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</si>
  <si>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</si>
  <si>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</si>
  <si>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</si>
  <si>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</si>
  <si>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</si>
  <si>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</si>
  <si>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</si>
  <si>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</si>
  <si>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</si>
  <si>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</si>
  <si>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</si>
  <si>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</si>
  <si>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</si>
  <si>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</si>
  <si>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</si>
  <si>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</si>
  <si>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</si>
  <si>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</si>
  <si>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</si>
  <si>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</si>
  <si>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</si>
  <si>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</si>
  <si>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</si>
  <si>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</si>
  <si>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</si>
  <si>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</si>
  <si>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</si>
  <si>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</si>
  <si>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</si>
  <si>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</si>
  <si>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</si>
  <si>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</si>
  <si>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</si>
  <si>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</si>
  <si>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</si>
  <si>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</si>
  <si>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</si>
  <si>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</si>
  <si>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</si>
  <si>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</si>
  <si>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</si>
  <si>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</si>
  <si>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</si>
  <si>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</si>
  <si>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</si>
  <si>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</si>
  <si>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</si>
  <si>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</si>
  <si>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</si>
  <si>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</si>
  <si>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</si>
  <si>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</si>
  <si>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</si>
  <si>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</si>
  <si>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</si>
  <si>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</si>
  <si>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</si>
  <si>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</si>
  <si>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</si>
  <si>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</si>
  <si>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</si>
  <si>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</si>
  <si>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</si>
  <si>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</si>
  <si>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</si>
  <si>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</si>
  <si>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</si>
  <si>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</si>
  <si>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</si>
  <si>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</si>
  <si>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</si>
  <si>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</si>
  <si>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</si>
  <si>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</si>
  <si>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</si>
  <si>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</si>
  <si>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</si>
  <si>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</si>
  <si>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</si>
  <si>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</si>
  <si>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</si>
  <si>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</si>
  <si>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</si>
  <si>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</si>
  <si>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</si>
  <si>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</si>
  <si>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</si>
  <si>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</si>
  <si>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</si>
  <si>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</si>
  <si>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</si>
  <si>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</si>
  <si>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</si>
  <si>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</si>
  <si>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</si>
  <si>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</si>
  <si>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</si>
  <si>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</si>
  <si>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</si>
  <si>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</si>
  <si>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</si>
  <si>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</si>
  <si>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</si>
  <si>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</si>
  <si>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</si>
  <si>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</si>
  <si>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</si>
  <si>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</si>
  <si>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</si>
  <si>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</si>
  <si>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</si>
  <si>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</si>
  <si>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</si>
  <si>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</si>
  <si>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</si>
  <si>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</si>
  <si>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</si>
  <si>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</si>
  <si>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</si>
  <si>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</si>
  <si>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</si>
  <si>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</si>
  <si>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</si>
  <si>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</si>
  <si>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</si>
  <si>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</si>
  <si>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</si>
  <si>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</si>
  <si>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</si>
  <si>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</si>
  <si>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</si>
  <si>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</si>
  <si>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</si>
  <si>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</si>
  <si>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</si>
  <si>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</si>
  <si>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</si>
  <si>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</si>
  <si>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</si>
  <si>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</si>
  <si>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</si>
  <si>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</si>
  <si>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</si>
  <si>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</si>
  <si>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</si>
  <si>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</si>
  <si>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</si>
  <si>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</si>
  <si>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</si>
  <si>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</si>
  <si>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</si>
  <si>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</si>
  <si>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</si>
  <si>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</si>
  <si>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</si>
  <si>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</si>
  <si>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</si>
  <si>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</si>
  <si>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</si>
  <si>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</si>
  <si>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</si>
  <si>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</si>
  <si>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</si>
  <si>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</si>
  <si>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</si>
  <si>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</si>
  <si>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</si>
  <si>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</si>
  <si>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</si>
  <si>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</si>
  <si>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</si>
  <si>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</si>
  <si>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</si>
  <si>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</si>
  <si>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</si>
  <si>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</si>
  <si>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</si>
  <si>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</si>
  <si>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</si>
  <si>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</si>
  <si>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</si>
  <si>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</si>
  <si>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</si>
  <si>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</si>
  <si>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</si>
  <si>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</si>
  <si>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</si>
  <si>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</si>
  <si>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</si>
  <si>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</si>
  <si>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</si>
  <si>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</si>
  <si>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</si>
  <si>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</si>
  <si>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</si>
  <si>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</si>
  <si>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</si>
  <si>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</si>
  <si>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</si>
  <si>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</si>
  <si>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</si>
  <si>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</si>
  <si>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</si>
  <si>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</si>
  <si>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</si>
  <si>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</si>
  <si>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</si>
  <si>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</si>
  <si>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</si>
  <si>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</si>
  <si>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</si>
  <si>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</si>
  <si>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</si>
  <si>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</si>
  <si>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</si>
  <si>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</si>
  <si>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</si>
  <si>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</si>
  <si>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</si>
  <si>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</si>
  <si>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</si>
  <si>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</si>
  <si>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</si>
  <si>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</si>
  <si>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</si>
  <si>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</si>
  <si>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</si>
  <si>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</si>
  <si>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</si>
  <si>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</si>
  <si>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</si>
  <si>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</si>
  <si>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</si>
  <si>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</si>
  <si>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</si>
  <si>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</si>
  <si>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</si>
  <si>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</si>
  <si>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</si>
  <si>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</si>
  <si>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</si>
  <si>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</si>
  <si>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</si>
  <si>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</si>
  <si>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</si>
  <si>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</si>
  <si>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</si>
  <si>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</si>
  <si>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</si>
  <si>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</si>
  <si>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</si>
  <si>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</si>
  <si>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</si>
  <si>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</si>
  <si>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</si>
  <si>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</si>
  <si>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</si>
  <si>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</si>
  <si>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</si>
  <si>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</si>
  <si>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</si>
  <si>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</si>
  <si>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</si>
  <si>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</si>
  <si>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</si>
  <si>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</si>
  <si>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</si>
  <si>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</si>
  <si>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</si>
  <si>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</si>
  <si>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</si>
  <si>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</si>
  <si>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</si>
  <si>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</si>
  <si>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</si>
  <si>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</si>
  <si>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</si>
  <si>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</si>
  <si>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</si>
  <si>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</si>
  <si>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</si>
  <si>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</si>
  <si>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</si>
  <si>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</si>
  <si>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</si>
  <si>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</si>
  <si>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</si>
  <si>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</si>
  <si>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</si>
  <si>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</si>
  <si>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</si>
  <si>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</si>
  <si>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</si>
  <si>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</si>
  <si>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</si>
  <si>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</si>
  <si>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</si>
  <si>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</si>
  <si>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</si>
  <si>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</si>
  <si>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</si>
  <si>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</si>
  <si>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</si>
  <si>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</si>
  <si>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</si>
  <si>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</si>
  <si>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</si>
  <si>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</si>
  <si>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</si>
  <si>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</si>
  <si>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</si>
  <si>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</si>
  <si>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</si>
  <si>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</si>
  <si>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</si>
  <si>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</si>
  <si>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</si>
  <si>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</si>
  <si>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</si>
  <si>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</si>
  <si>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</si>
  <si>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</si>
  <si>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</si>
  <si>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</si>
  <si>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</si>
  <si>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</si>
  <si>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</si>
  <si>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</si>
  <si>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</si>
  <si>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</si>
  <si>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</si>
  <si>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</si>
  <si>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</si>
  <si>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</si>
  <si>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</si>
  <si>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</si>
  <si>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</si>
  <si>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</si>
  <si>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</si>
  <si>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</si>
  <si>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</si>
  <si>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</si>
  <si>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</si>
  <si>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</si>
  <si>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</si>
  <si>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</si>
  <si>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</si>
  <si>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</si>
  <si>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</si>
  <si>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</si>
  <si>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</si>
  <si>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</si>
  <si>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</si>
  <si>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</si>
  <si>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</si>
  <si>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</si>
  <si>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</si>
  <si>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</si>
  <si>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</si>
  <si>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</si>
  <si>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</si>
  <si>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</si>
  <si>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</si>
  <si>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</si>
  <si>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</si>
  <si>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</si>
  <si>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</si>
  <si>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</si>
  <si>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</si>
  <si>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</si>
  <si>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</si>
  <si>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</si>
  <si>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</si>
  <si>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</si>
  <si>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</si>
  <si>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</si>
  <si>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</si>
  <si>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</si>
  <si>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</si>
  <si>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</si>
  <si>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</si>
  <si>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</si>
  <si>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</si>
  <si>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</si>
  <si>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</si>
  <si>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</si>
  <si>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</si>
  <si>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</si>
  <si>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</si>
  <si>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</si>
  <si>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</si>
  <si>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</si>
  <si>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</si>
  <si>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</si>
  <si>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</si>
  <si>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</si>
  <si>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</si>
  <si>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</si>
  <si>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</si>
  <si>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</si>
  <si>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</si>
  <si>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</si>
  <si>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</si>
  <si>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</si>
  <si>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</si>
  <si>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</si>
  <si>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</si>
  <si>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</si>
  <si>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</si>
  <si>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</si>
  <si>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</si>
  <si>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</si>
  <si>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</si>
  <si>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</si>
  <si>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</si>
  <si>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</si>
  <si>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</si>
  <si>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</si>
  <si>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</si>
  <si>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</si>
  <si>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</si>
  <si>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</si>
  <si>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</si>
  <si>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</si>
  <si>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</si>
  <si>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</si>
  <si>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</si>
  <si>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</si>
  <si>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</si>
  <si>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</si>
  <si>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</si>
  <si>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</si>
  <si>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</si>
  <si>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</si>
  <si>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</si>
  <si>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</si>
  <si>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</si>
  <si>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</si>
  <si>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</si>
  <si>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</si>
  <si>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</si>
  <si>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</si>
  <si>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</si>
  <si>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</si>
  <si>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</si>
  <si>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</si>
  <si>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</si>
  <si>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</si>
  <si>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</si>
  <si>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</si>
  <si>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</si>
  <si>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</si>
  <si>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</si>
  <si>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</si>
  <si>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</si>
  <si>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</si>
  <si>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</si>
  <si>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</si>
  <si>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</si>
  <si>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</si>
  <si>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</si>
  <si>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</si>
  <si>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</si>
  <si>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</si>
  <si>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</si>
  <si>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</si>
  <si>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</si>
  <si>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</si>
  <si>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</si>
  <si>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</si>
  <si>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</si>
  <si>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</si>
  <si>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</si>
  <si>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</si>
  <si>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</si>
  <si>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</si>
  <si>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</si>
  <si>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</si>
  <si>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</si>
  <si>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</si>
  <si>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</si>
  <si>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</si>
  <si>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</si>
  <si>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</si>
  <si>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</si>
  <si>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</si>
  <si>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</si>
  <si>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</si>
  <si>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</si>
  <si>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</si>
  <si>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</si>
  <si>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</si>
  <si>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</si>
  <si>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</si>
  <si>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</si>
  <si>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</si>
  <si>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</si>
  <si>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</si>
  <si>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</si>
  <si>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</si>
  <si>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</si>
  <si>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</si>
  <si>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</si>
  <si>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</si>
  <si>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</si>
  <si>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</si>
  <si>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</si>
  <si>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</si>
  <si>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</si>
  <si>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</si>
  <si>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</si>
  <si>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</si>
  <si>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</si>
  <si>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</si>
  <si>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</si>
  <si>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</si>
  <si>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</si>
  <si>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</si>
  <si>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</si>
  <si>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</si>
  <si>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</si>
  <si>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</si>
  <si>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</si>
  <si>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</si>
  <si>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</si>
  <si>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</si>
  <si>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</si>
  <si>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</si>
  <si>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</si>
  <si>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</si>
  <si>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</si>
  <si>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</si>
  <si>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</si>
  <si>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</si>
  <si>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</si>
  <si>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</si>
  <si>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</si>
  <si>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</si>
  <si>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</si>
  <si>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</si>
  <si>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</si>
  <si>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</si>
  <si>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</si>
  <si>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</si>
  <si>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</si>
  <si>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</si>
  <si>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</si>
  <si>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</si>
  <si>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</si>
  <si>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</si>
  <si>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</si>
  <si>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</si>
  <si>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</si>
  <si>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</si>
  <si>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</si>
  <si>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</si>
  <si>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</si>
  <si>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</si>
  <si>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</si>
  <si>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</si>
  <si>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</si>
  <si>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</si>
  <si>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</si>
  <si>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</si>
  <si>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</si>
  <si>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</si>
  <si>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</si>
  <si>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</si>
  <si>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</si>
  <si>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</si>
  <si>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</si>
  <si>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</si>
  <si>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</si>
  <si>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</si>
  <si>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</si>
  <si>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</si>
  <si>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</si>
  <si>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</si>
  <si>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</si>
  <si>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</si>
  <si>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</si>
  <si>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</si>
  <si>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</si>
  <si>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</si>
  <si>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</si>
  <si>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</si>
  <si>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</si>
  <si>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</si>
  <si>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</si>
  <si>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</si>
  <si>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</si>
  <si>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</si>
  <si>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</si>
  <si>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</si>
  <si>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</si>
  <si>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</si>
  <si>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</si>
  <si>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</si>
  <si>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</si>
  <si>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</si>
  <si>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</si>
  <si>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</si>
  <si>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</si>
  <si>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</si>
  <si>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</si>
  <si>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</si>
  <si>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</si>
  <si>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</si>
  <si>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</si>
  <si>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</si>
  <si>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</si>
  <si>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</si>
  <si>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</si>
  <si>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</si>
  <si>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</si>
  <si>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</si>
  <si>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</si>
  <si>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</si>
  <si>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</si>
  <si>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</si>
  <si>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</si>
  <si>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</si>
  <si>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</si>
  <si>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</si>
  <si>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</si>
  <si>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</si>
  <si>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</si>
  <si>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</si>
  <si>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</si>
  <si>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</si>
  <si>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</si>
  <si>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</si>
  <si>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</si>
  <si>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</si>
  <si>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</si>
  <si>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</si>
  <si>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</si>
  <si>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</si>
  <si>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</si>
  <si>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</si>
  <si>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</si>
  <si>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</si>
  <si>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</si>
  <si>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</si>
  <si>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</si>
  <si>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</si>
  <si>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</si>
  <si>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</si>
  <si>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</si>
  <si>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</si>
  <si>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</si>
  <si>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</si>
  <si>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</si>
  <si>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</si>
  <si>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</si>
  <si>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</si>
  <si>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</si>
  <si>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</si>
  <si>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</si>
  <si>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</si>
  <si>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</si>
  <si>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</si>
  <si>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</si>
  <si>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</si>
  <si>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</si>
  <si>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</si>
  <si>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</si>
  <si>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</si>
  <si>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</si>
  <si>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</si>
  <si>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</si>
  <si>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</si>
  <si>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</si>
  <si>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</si>
  <si>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</si>
  <si>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</si>
  <si>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</si>
  <si>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</si>
  <si>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</si>
  <si>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</si>
  <si>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</si>
  <si>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</si>
  <si>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</si>
  <si>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</si>
  <si>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</si>
  <si>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</si>
  <si>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</si>
  <si>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</si>
  <si>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</si>
  <si>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</si>
  <si>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</si>
  <si>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</si>
  <si>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</si>
  <si>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</si>
  <si>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</si>
  <si>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</si>
  <si>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</si>
  <si>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</si>
  <si>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</si>
  <si>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</si>
  <si>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</si>
  <si>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</si>
  <si>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</si>
  <si>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</si>
  <si>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</si>
  <si>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</si>
  <si>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</si>
  <si>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</si>
  <si>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</si>
  <si>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</si>
  <si>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</si>
  <si>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</si>
  <si>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</si>
  <si>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</si>
  <si>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</si>
  <si>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</si>
  <si>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</si>
  <si>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</si>
  <si>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</si>
  <si>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</si>
  <si>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</si>
  <si>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</si>
  <si>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</si>
  <si>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</si>
  <si>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</si>
  <si>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</si>
  <si>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</si>
  <si>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</si>
  <si>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</si>
  <si>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</si>
  <si>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</si>
  <si>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</si>
  <si>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</si>
  <si>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</si>
  <si>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</si>
  <si>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</si>
  <si>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</si>
  <si>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</si>
  <si>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</si>
  <si>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</si>
  <si>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</si>
  <si>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</si>
  <si>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</si>
  <si>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</si>
  <si>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</si>
  <si>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</si>
  <si>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</si>
  <si>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</si>
  <si>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</si>
  <si>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</si>
  <si>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</si>
  <si>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</si>
  <si>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</si>
  <si>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</si>
  <si>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</si>
  <si>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</si>
  <si>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</si>
  <si>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</si>
  <si>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</si>
  <si>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</si>
  <si>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</si>
  <si>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</si>
  <si>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</si>
  <si>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</si>
  <si>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</si>
  <si>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</si>
  <si>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</si>
  <si>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</si>
  <si>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</si>
  <si>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</si>
  <si>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</si>
  <si>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</si>
  <si>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</si>
  <si>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</si>
  <si>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</si>
  <si>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</si>
  <si>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</si>
  <si>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</si>
  <si>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</si>
  <si>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</si>
  <si>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</si>
  <si>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</si>
  <si>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</si>
  <si>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</si>
  <si>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</si>
  <si>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</si>
  <si>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</si>
  <si>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</si>
  <si>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</si>
  <si>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</si>
  <si>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</si>
  <si>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</si>
  <si>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</si>
  <si>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</si>
  <si>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</si>
  <si>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</si>
  <si>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</si>
  <si>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</si>
  <si>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</si>
  <si>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</si>
  <si>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</si>
  <si>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</si>
  <si>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</si>
  <si>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</si>
  <si>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</si>
  <si>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</si>
  <si>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</si>
  <si>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</si>
  <si>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</si>
  <si>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</si>
  <si>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</si>
  <si>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</si>
  <si>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</si>
  <si>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</si>
  <si>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</si>
  <si>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</si>
  <si>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</si>
  <si>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</si>
  <si>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</si>
  <si>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</si>
  <si>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</si>
  <si>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</si>
  <si>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</si>
  <si>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</si>
  <si>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</si>
  <si>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</si>
  <si>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</si>
  <si>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</si>
  <si>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</si>
  <si>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</si>
  <si>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</si>
  <si>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</si>
  <si>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</si>
  <si>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</si>
  <si>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</si>
  <si>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</si>
  <si>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</si>
  <si>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</si>
  <si>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</si>
  <si>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</si>
  <si>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</si>
  <si>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</si>
  <si>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</si>
  <si>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</si>
  <si>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</si>
  <si>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</si>
  <si>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</si>
  <si>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</si>
  <si>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</si>
  <si>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</si>
  <si>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</si>
  <si>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</si>
  <si>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</si>
  <si>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</si>
  <si>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</si>
  <si>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</si>
  <si>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</si>
  <si>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</si>
  <si>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</si>
  <si>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</si>
  <si>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</si>
  <si>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</si>
  <si>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</si>
  <si>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</si>
  <si>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</si>
  <si>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</si>
  <si>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</si>
  <si>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</si>
  <si>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</si>
  <si>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</si>
  <si>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</si>
  <si>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</si>
  <si>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</si>
  <si>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</si>
  <si>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</si>
  <si>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</si>
  <si>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</si>
  <si>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</si>
  <si>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</si>
  <si>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</si>
  <si>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</si>
  <si>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</si>
  <si>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</si>
  <si>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</si>
  <si>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</si>
  <si>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</si>
  <si>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</si>
  <si>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</si>
  <si>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</si>
  <si>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</si>
  <si>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</si>
  <si>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</si>
  <si>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</si>
  <si>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</si>
  <si>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</si>
  <si>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</si>
  <si>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</si>
  <si>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</si>
  <si>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</si>
  <si>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</si>
  <si>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</si>
  <si>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</si>
  <si>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</si>
  <si>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</si>
  <si>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</si>
  <si>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</si>
  <si>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</si>
  <si>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</si>
  <si>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</si>
  <si>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</si>
  <si>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</si>
  <si>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</si>
  <si>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</si>
  <si>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</si>
  <si>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</si>
  <si>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</si>
  <si>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</si>
  <si>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</si>
  <si>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</si>
  <si>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</si>
  <si>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</si>
  <si>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</si>
  <si>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</si>
  <si>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</si>
  <si>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</si>
  <si>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</si>
  <si>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</si>
  <si>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</si>
  <si>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</si>
  <si>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</si>
  <si>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</si>
  <si>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</si>
  <si>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</si>
  <si>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</si>
  <si>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</si>
  <si>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</si>
  <si>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</si>
  <si>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</si>
  <si>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</si>
  <si>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</si>
  <si>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</si>
  <si>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</si>
  <si>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</si>
  <si>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</si>
  <si>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</si>
  <si>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</si>
  <si>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</si>
  <si>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</si>
  <si>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</si>
  <si>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</si>
  <si>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</si>
  <si>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</si>
  <si>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</si>
  <si>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</si>
  <si>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</si>
  <si>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</si>
  <si>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</si>
  <si>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</si>
  <si>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</si>
  <si>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</si>
  <si>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</si>
  <si>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</si>
  <si>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</si>
  <si>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</si>
  <si>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</si>
  <si>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</si>
  <si>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</si>
  <si>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</si>
  <si>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</si>
  <si>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</si>
  <si>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</si>
  <si>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</si>
  <si>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</si>
  <si>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</si>
  <si>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</si>
  <si>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</si>
  <si>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</si>
  <si>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</si>
  <si>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</si>
  <si>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</si>
  <si>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</si>
  <si>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</si>
  <si>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</si>
  <si>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</si>
  <si>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</si>
  <si>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</si>
  <si>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</si>
  <si>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</si>
  <si>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</si>
  <si>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</si>
  <si>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</si>
  <si>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</si>
  <si>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</si>
  <si>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</si>
  <si>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</si>
  <si>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</si>
  <si>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</si>
  <si>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</si>
  <si>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</si>
  <si>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</si>
  <si>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</si>
  <si>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</si>
  <si>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</si>
  <si>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</si>
  <si>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</si>
  <si>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</si>
  <si>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</si>
  <si>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</si>
  <si>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</si>
  <si>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</si>
  <si>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</si>
  <si>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</si>
  <si>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</si>
  <si>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</si>
  <si>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</si>
  <si>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</si>
  <si>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</si>
  <si>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</si>
  <si>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</si>
  <si>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</si>
  <si>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</si>
  <si>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</si>
  <si>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</si>
  <si>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</si>
  <si>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</si>
  <si>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</si>
  <si>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</si>
  <si>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</si>
  <si>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</si>
  <si>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</si>
  <si>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</si>
  <si>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</si>
  <si>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</si>
  <si>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</si>
  <si>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</si>
  <si>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</si>
  <si>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</si>
  <si>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</si>
  <si>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</si>
  <si>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</si>
  <si>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</si>
  <si>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</si>
  <si>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</si>
  <si>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</si>
  <si>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</si>
  <si>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</si>
  <si>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</si>
  <si>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</si>
  <si>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</si>
  <si>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</si>
  <si>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</si>
  <si>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</si>
  <si>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</si>
  <si>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</si>
  <si>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</si>
  <si>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</si>
  <si>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</si>
  <si>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</si>
  <si>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</si>
  <si>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</si>
  <si>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</si>
  <si>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</si>
  <si>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</si>
  <si>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</si>
  <si>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</si>
  <si>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</si>
  <si>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</si>
  <si>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</si>
  <si>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</si>
  <si>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</si>
  <si>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</si>
  <si>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</si>
  <si>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</si>
  <si>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</si>
  <si>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</si>
  <si>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</si>
  <si>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</si>
  <si>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</si>
  <si>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</si>
  <si>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</si>
  <si>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</si>
  <si>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</si>
  <si>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</si>
  <si>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</si>
  <si>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</si>
  <si>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</si>
  <si>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</si>
  <si>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</si>
  <si>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</si>
  <si>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</si>
  <si>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</si>
  <si>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</si>
  <si>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</si>
  <si>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</si>
  <si>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</si>
  <si>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</si>
  <si>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</si>
  <si>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</si>
  <si>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</si>
  <si>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</si>
  <si>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</si>
  <si>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</si>
  <si>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</si>
  <si>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</si>
  <si>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</si>
  <si>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</si>
  <si>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</si>
  <si>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</si>
  <si>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</si>
  <si>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</si>
  <si>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</si>
  <si>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</si>
  <si>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</si>
  <si>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</si>
  <si>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</si>
  <si>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</si>
  <si>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</si>
  <si>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</si>
  <si>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</si>
  <si>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</si>
  <si>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</si>
  <si>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</si>
  <si>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</si>
  <si>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</si>
  <si>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</si>
  <si>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</si>
  <si>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</si>
  <si>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</si>
  <si>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</si>
  <si>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</si>
  <si>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</si>
  <si>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</si>
  <si>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</si>
  <si>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</si>
  <si>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</si>
  <si>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</si>
  <si>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</si>
  <si>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</si>
  <si>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</si>
  <si>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</si>
  <si>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</si>
  <si>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</si>
  <si>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</si>
  <si>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</si>
  <si>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</si>
  <si>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</si>
  <si>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</si>
  <si>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</si>
  <si>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</si>
  <si>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</si>
  <si>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</si>
  <si>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</si>
  <si>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</si>
  <si>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</si>
  <si>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</si>
  <si>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</si>
  <si>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</si>
  <si>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</si>
  <si>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</si>
  <si>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</si>
  <si>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</si>
  <si>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</si>
  <si>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</si>
  <si>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</si>
  <si>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</si>
  <si>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</si>
  <si>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</si>
  <si>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</si>
  <si>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</si>
  <si>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</si>
  <si>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</si>
  <si>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</si>
  <si>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</si>
  <si>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</si>
  <si>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</si>
  <si>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</si>
  <si>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</si>
  <si>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</si>
  <si>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</si>
  <si>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</si>
  <si>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</si>
  <si>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</si>
  <si>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</si>
  <si>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</si>
  <si>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</si>
  <si>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</si>
  <si>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</si>
  <si>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</si>
  <si>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</si>
  <si>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</si>
  <si>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</si>
  <si>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</si>
  <si>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</si>
  <si>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</si>
  <si>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</si>
  <si>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</si>
  <si>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</si>
  <si>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</si>
  <si>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</si>
  <si>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</si>
  <si>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</si>
  <si>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</si>
  <si>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</si>
  <si>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</si>
  <si>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</si>
  <si>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</si>
  <si>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</si>
  <si>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</si>
  <si>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</si>
  <si>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</si>
  <si>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</si>
  <si>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</si>
  <si>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</si>
  <si>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</si>
  <si>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</si>
  <si>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</si>
  <si>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</si>
  <si>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</si>
  <si>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</si>
  <si>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</si>
  <si>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</si>
  <si>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</si>
  <si>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</si>
  <si>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</si>
  <si>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</si>
  <si>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</si>
  <si>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</si>
  <si>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</si>
  <si>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</si>
  <si>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</si>
  <si>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</si>
  <si>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</si>
  <si>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</si>
  <si>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</si>
  <si>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</si>
  <si>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</si>
  <si>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</si>
  <si>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</si>
  <si>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</si>
  <si>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</si>
  <si>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</si>
  <si>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</si>
  <si>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</si>
  <si>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</si>
  <si>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</si>
  <si>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</si>
  <si>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</si>
  <si>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</si>
  <si>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</si>
  <si>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</si>
  <si>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</si>
  <si>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</si>
  <si>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</si>
  <si>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</si>
  <si>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</si>
  <si>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</si>
  <si>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</si>
  <si>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</si>
  <si>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</si>
  <si>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</si>
  <si>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</si>
  <si>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</si>
  <si>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</si>
  <si>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</si>
  <si>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</si>
  <si>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</si>
  <si>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</si>
  <si>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</si>
  <si>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</si>
  <si>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</si>
  <si>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</si>
  <si>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</si>
  <si>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</si>
  <si>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</si>
  <si>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</si>
  <si>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</si>
  <si>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</si>
  <si>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</si>
  <si>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</si>
  <si>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</si>
  <si>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</si>
  <si>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</si>
  <si>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</si>
  <si>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</si>
  <si>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</si>
  <si>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</si>
  <si>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</si>
  <si>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</si>
  <si>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</si>
  <si>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</si>
  <si>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</si>
  <si>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</si>
  <si>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</si>
  <si>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</si>
  <si>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</si>
  <si>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</si>
  <si>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</si>
  <si>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</si>
  <si>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</si>
  <si>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</si>
  <si>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</si>
  <si>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</si>
  <si>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</si>
  <si>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</si>
  <si>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</si>
  <si>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</si>
  <si>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</si>
  <si>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</si>
  <si>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</si>
  <si>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</si>
  <si>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</si>
  <si>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</si>
  <si>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</si>
  <si>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</si>
  <si>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</si>
  <si>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</si>
  <si>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</si>
  <si>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</si>
  <si>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</si>
  <si>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</si>
  <si>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</si>
  <si>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</si>
  <si>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</si>
  <si>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</si>
  <si>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</si>
  <si>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</si>
  <si>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</si>
  <si>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</si>
  <si>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</si>
  <si>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</si>
  <si>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</si>
  <si>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</si>
  <si>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</si>
  <si>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</si>
  <si>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</si>
  <si>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</si>
  <si>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</si>
  <si>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</si>
  <si>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</si>
  <si>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</si>
  <si>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</si>
  <si>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</si>
  <si>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</si>
  <si>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</si>
  <si>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</si>
  <si>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</si>
  <si>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</si>
  <si>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</si>
  <si>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</si>
  <si>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</si>
  <si>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</si>
  <si>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</si>
  <si>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</si>
  <si>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</si>
  <si>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</si>
  <si>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</si>
  <si>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</si>
  <si>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</si>
  <si>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</si>
  <si>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</si>
  <si>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</si>
  <si>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</si>
  <si>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</si>
  <si>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</si>
  <si>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</si>
  <si>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</si>
  <si>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</si>
  <si>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</si>
  <si>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</si>
  <si>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</si>
  <si>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</si>
  <si>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</si>
  <si>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</si>
  <si>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</si>
  <si>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</si>
  <si>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</si>
  <si>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</si>
  <si>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</si>
  <si>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</si>
  <si>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</si>
  <si>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</si>
  <si>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</si>
  <si>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</si>
  <si>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</si>
  <si>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</si>
  <si>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</si>
  <si>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</si>
  <si>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</si>
  <si>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</si>
  <si>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</si>
  <si>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</si>
  <si>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</si>
  <si>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</si>
  <si>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</si>
  <si>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</si>
  <si>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</si>
  <si>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</si>
  <si>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</si>
  <si>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</si>
  <si>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</si>
  <si>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</si>
  <si>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</si>
  <si>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</si>
  <si>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</si>
  <si>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</si>
  <si>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</si>
  <si>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</si>
  <si>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</si>
  <si>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</si>
  <si>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</si>
  <si>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</si>
  <si>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</si>
  <si>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</si>
  <si>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</si>
  <si>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</si>
  <si>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</si>
  <si>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</si>
  <si>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</si>
  <si>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</si>
  <si>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</si>
  <si>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</si>
  <si>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</si>
  <si>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</si>
  <si>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</si>
  <si>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</si>
  <si>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</si>
  <si>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</si>
  <si>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</si>
  <si>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</si>
  <si>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</si>
  <si>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</si>
  <si>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</si>
  <si>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</si>
  <si>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</si>
  <si>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</si>
  <si>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</si>
  <si>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</si>
  <si>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</si>
  <si>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</si>
  <si>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</si>
  <si>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</si>
  <si>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</si>
  <si>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</si>
  <si>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</si>
  <si>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</si>
  <si>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</si>
  <si>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</si>
  <si>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</si>
  <si>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</si>
  <si>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</si>
  <si>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</si>
  <si>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</si>
  <si>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</si>
  <si>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</si>
  <si>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</si>
  <si>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</si>
  <si>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</si>
  <si>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</si>
  <si>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</si>
  <si>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</si>
  <si>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</si>
  <si>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</si>
  <si>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</si>
  <si>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</si>
  <si>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</si>
  <si>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</si>
  <si>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</si>
  <si>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</si>
  <si>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</si>
  <si>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</si>
  <si>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</si>
  <si>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</si>
  <si>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</si>
  <si>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</si>
  <si>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</si>
  <si>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</si>
  <si>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</si>
  <si>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</si>
  <si>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</si>
  <si>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</si>
  <si>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</si>
  <si>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</si>
  <si>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</si>
  <si>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</si>
  <si>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</si>
  <si>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</si>
  <si>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</si>
  <si>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</si>
  <si>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</si>
  <si>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</si>
  <si>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</si>
  <si>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</si>
  <si>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</si>
  <si>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</si>
  <si>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</si>
  <si>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</si>
  <si>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</si>
  <si>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</si>
  <si>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</si>
  <si>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</si>
  <si>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</si>
  <si>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</si>
  <si>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</si>
  <si>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</si>
  <si>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</si>
  <si>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</si>
  <si>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</si>
  <si>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</si>
  <si>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</si>
  <si>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</si>
  <si>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</si>
  <si>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</si>
  <si>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</si>
  <si>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</si>
  <si>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</si>
  <si>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</si>
  <si>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</si>
  <si>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</si>
  <si>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</si>
  <si>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</si>
  <si>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</si>
  <si>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</si>
  <si>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</si>
  <si>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</si>
  <si>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</si>
  <si>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</si>
  <si>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</si>
  <si>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</si>
  <si>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</si>
  <si>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</si>
  <si>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</si>
  <si>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</si>
  <si>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</si>
  <si>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</si>
  <si>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</si>
  <si>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</si>
  <si>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</si>
  <si>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</si>
  <si>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</si>
  <si>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</si>
  <si>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</si>
  <si>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</si>
  <si>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</si>
  <si>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</si>
  <si>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</si>
  <si>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</si>
  <si>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</si>
  <si>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</si>
  <si>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</si>
  <si>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</si>
  <si>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</si>
  <si>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</si>
  <si>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</si>
  <si>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</si>
  <si>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</si>
  <si>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</si>
  <si>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</si>
  <si>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</si>
  <si>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</si>
  <si>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</si>
  <si>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</si>
  <si>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</si>
  <si>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</si>
  <si>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</si>
  <si>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</si>
  <si>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</si>
  <si>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</si>
  <si>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</si>
  <si>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</si>
  <si>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</si>
  <si>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</si>
  <si>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</si>
  <si>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</si>
  <si>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</si>
  <si>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</si>
  <si>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</si>
  <si>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</si>
  <si>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</si>
  <si>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</si>
  <si>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</si>
  <si>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</si>
  <si>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</si>
  <si>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</si>
  <si>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</si>
  <si>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</si>
  <si>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</si>
  <si>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</si>
  <si>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</si>
  <si>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</si>
  <si>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</si>
  <si>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</si>
  <si>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</si>
  <si>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</si>
  <si>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</si>
  <si>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</si>
  <si>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</si>
  <si>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</si>
  <si>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</si>
  <si>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</si>
  <si>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</si>
  <si>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</si>
  <si>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</si>
  <si>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</si>
  <si>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</si>
  <si>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</si>
  <si>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</si>
  <si>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</si>
  <si>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</si>
  <si>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</si>
  <si>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</si>
  <si>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</si>
  <si>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</si>
  <si>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</si>
  <si>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</si>
  <si>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</si>
  <si>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</si>
  <si>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</si>
  <si>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</si>
  <si>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</si>
  <si>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</si>
  <si>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</si>
  <si>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</si>
  <si>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</si>
  <si>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</si>
  <si>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</si>
  <si>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</si>
  <si>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</si>
  <si>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</si>
  <si>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</si>
  <si>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</si>
  <si>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</si>
  <si>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</si>
  <si>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</si>
  <si>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</si>
  <si>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</si>
  <si>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</si>
  <si>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</si>
  <si>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</si>
  <si>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</si>
  <si>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</si>
  <si>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</si>
  <si>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</si>
  <si>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</si>
  <si>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</si>
  <si>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</si>
  <si>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</si>
  <si>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</si>
  <si>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</si>
  <si>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</si>
  <si>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</si>
  <si>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</si>
  <si>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</si>
  <si>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</si>
  <si>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</si>
  <si>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</si>
  <si>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</si>
  <si>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</si>
  <si>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</si>
  <si>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</si>
  <si>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</si>
  <si>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</si>
  <si>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</si>
  <si>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</si>
  <si>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</si>
  <si>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</si>
  <si>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</si>
  <si>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</si>
  <si>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</si>
  <si>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</si>
  <si>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</si>
  <si>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</si>
  <si>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</si>
  <si>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</si>
  <si>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</si>
  <si>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</si>
  <si>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</si>
  <si>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</si>
  <si>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</si>
  <si>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</si>
  <si>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</si>
  <si>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</si>
  <si>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</si>
  <si>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</si>
  <si>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</si>
  <si>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</si>
  <si>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</si>
  <si>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</si>
  <si>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</si>
  <si>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</si>
  <si>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</si>
  <si>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</si>
  <si>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</si>
  <si>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</si>
  <si>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</si>
  <si>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</si>
  <si>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</si>
  <si>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</si>
  <si>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</si>
  <si>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</si>
  <si>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</si>
  <si>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</si>
  <si>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</si>
  <si>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</si>
  <si>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</si>
  <si>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</si>
  <si>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</si>
  <si>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</si>
  <si>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</si>
  <si>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</si>
  <si>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</si>
  <si>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</si>
  <si>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</si>
  <si>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</si>
  <si>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</si>
  <si>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</si>
  <si>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</si>
  <si>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</si>
  <si>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</si>
  <si>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</si>
  <si>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</si>
  <si>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</si>
  <si>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</si>
  <si>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</si>
  <si>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</si>
  <si>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</si>
  <si>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</si>
  <si>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</si>
  <si>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</si>
  <si>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</si>
  <si>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</si>
  <si>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</si>
  <si>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</si>
  <si>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</si>
  <si>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</si>
  <si>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</si>
  <si>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</si>
  <si>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</si>
  <si>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</si>
  <si>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</si>
  <si>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</si>
  <si>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</si>
  <si>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</si>
  <si>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</si>
  <si>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</si>
  <si>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</si>
  <si>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</si>
  <si>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</si>
  <si>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</si>
  <si>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</si>
  <si>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</si>
  <si>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</si>
  <si>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</si>
  <si>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</si>
  <si>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</si>
  <si>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</si>
  <si>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</si>
  <si>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</si>
  <si>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</si>
  <si>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</si>
  <si>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</si>
  <si>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</si>
  <si>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</si>
  <si>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</si>
  <si>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</si>
  <si>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</si>
  <si>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</si>
  <si>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</si>
  <si>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</si>
  <si>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</si>
  <si>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</si>
  <si>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</si>
  <si>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</si>
  <si>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</si>
  <si>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</si>
  <si>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</si>
  <si>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</si>
  <si>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</si>
  <si>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</si>
  <si>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</si>
  <si>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</si>
  <si>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</si>
  <si>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</si>
  <si>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</si>
  <si>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</si>
  <si>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</si>
  <si>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</si>
  <si>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</si>
  <si>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</si>
  <si>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</si>
  <si>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</si>
  <si>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</si>
  <si>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</si>
  <si>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</si>
  <si>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</si>
  <si>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</si>
  <si>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</si>
  <si>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</si>
  <si>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</si>
  <si>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</si>
  <si>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</si>
  <si>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</si>
  <si>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</si>
  <si>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</si>
  <si>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</si>
  <si>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</si>
  <si>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</si>
  <si>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</si>
  <si>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</si>
  <si>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</si>
  <si>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</si>
  <si>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</si>
  <si>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</si>
  <si>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</si>
  <si>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</si>
  <si>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</si>
  <si>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</si>
  <si>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</si>
  <si>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</si>
  <si>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</si>
  <si>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</si>
  <si>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</si>
  <si>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</si>
  <si>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</si>
  <si>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</si>
  <si>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</si>
  <si>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</si>
  <si>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</si>
  <si>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</si>
  <si>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</si>
  <si>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</si>
  <si>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</si>
  <si>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</si>
  <si>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</si>
  <si>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</si>
  <si>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</si>
  <si>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</si>
  <si>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</si>
  <si>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</si>
  <si>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</si>
  <si>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</si>
  <si>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</si>
  <si>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</si>
  <si>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</si>
  <si>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</si>
  <si>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</si>
  <si>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</si>
  <si>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</si>
  <si>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</si>
  <si>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</si>
  <si>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</si>
  <si>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</si>
  <si>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</si>
  <si>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</si>
  <si>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</si>
  <si>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</si>
  <si>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</si>
  <si>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</si>
  <si>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</si>
  <si>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</si>
  <si>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</si>
  <si>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</si>
  <si>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</si>
  <si>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</si>
  <si>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</si>
  <si>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</si>
  <si>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</si>
  <si>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</si>
  <si>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</si>
  <si>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</si>
  <si>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</si>
  <si>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</si>
  <si>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</si>
  <si>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</si>
  <si>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</si>
  <si>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</si>
  <si>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</si>
  <si>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</si>
  <si>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</si>
  <si>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</si>
  <si>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</si>
  <si>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</si>
  <si>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</si>
  <si>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</si>
  <si>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</si>
  <si>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</si>
  <si>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</si>
  <si>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</si>
  <si>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</si>
  <si>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</si>
  <si>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</si>
  <si>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</si>
  <si>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</si>
  <si>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</si>
  <si>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</si>
  <si>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</si>
  <si>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</si>
  <si>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</si>
  <si>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</si>
  <si>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</si>
  <si>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</si>
  <si>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</si>
  <si>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</si>
  <si>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</si>
  <si>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</si>
  <si>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</si>
  <si>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</si>
  <si>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</si>
  <si>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</si>
  <si>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</si>
  <si>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</si>
  <si>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</si>
  <si>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</si>
  <si>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</si>
  <si>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</si>
  <si>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</si>
  <si>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</si>
  <si>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</si>
  <si>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</si>
  <si>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</si>
  <si>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</si>
  <si>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</si>
  <si>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</si>
  <si>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</si>
  <si>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</si>
  <si>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</si>
  <si>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</si>
  <si>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</si>
  <si>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</si>
  <si>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</si>
  <si>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</si>
  <si>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</si>
  <si>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</si>
  <si>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</si>
  <si>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</si>
  <si>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</si>
  <si>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</si>
  <si>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</si>
  <si>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</si>
  <si>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</si>
  <si>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</si>
  <si>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</si>
  <si>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</si>
  <si>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</si>
  <si>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</si>
  <si>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</si>
  <si>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</si>
  <si>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</si>
  <si>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</si>
  <si>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</si>
  <si>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</si>
  <si>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</si>
  <si>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</si>
  <si>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</si>
  <si>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</si>
  <si>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</si>
  <si>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</si>
  <si>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</si>
  <si>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</si>
  <si>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</si>
  <si>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</si>
  <si>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</si>
  <si>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</si>
  <si>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</si>
  <si>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</si>
  <si>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</si>
  <si>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</si>
  <si>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</si>
  <si>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</si>
  <si>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</si>
  <si>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</si>
  <si>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</si>
  <si>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</si>
  <si>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</si>
  <si>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</si>
  <si>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</si>
  <si>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</si>
  <si>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</si>
  <si>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</si>
  <si>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</si>
  <si>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</si>
  <si>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</si>
  <si>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</si>
  <si>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</si>
  <si>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</si>
  <si>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</si>
  <si>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</si>
  <si>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</si>
  <si>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</si>
  <si>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</si>
  <si>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</si>
  <si>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</si>
  <si>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</si>
  <si>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</si>
  <si>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</si>
  <si>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</si>
  <si>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</si>
  <si>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</si>
  <si>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</si>
  <si>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</si>
  <si>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</si>
  <si>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</si>
  <si>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</si>
  <si>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</si>
  <si>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</si>
  <si>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</si>
  <si>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</si>
  <si>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</si>
  <si>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</si>
  <si>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</si>
  <si>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</si>
  <si>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</si>
  <si>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</si>
  <si>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</si>
  <si>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</si>
  <si>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</si>
  <si>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</si>
  <si>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</si>
  <si>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</si>
  <si>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</si>
  <si>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</si>
  <si>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</si>
  <si>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</si>
  <si>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</si>
  <si>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</si>
  <si>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</si>
  <si>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</si>
  <si>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</si>
  <si>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</si>
  <si>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</si>
  <si>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</si>
  <si>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</si>
  <si>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</si>
  <si>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</si>
  <si>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</si>
  <si>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</si>
  <si>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</si>
  <si>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</si>
  <si>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</si>
  <si>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</si>
  <si>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</si>
  <si>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</si>
  <si>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</si>
  <si>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</si>
  <si>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</si>
  <si>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</si>
  <si>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</si>
  <si>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</si>
  <si>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</si>
  <si>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</si>
  <si>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</si>
  <si>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</si>
  <si>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</si>
  <si>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</si>
  <si>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</si>
  <si>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</si>
  <si>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</si>
  <si>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</si>
  <si>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</si>
  <si>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</si>
  <si>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</si>
  <si>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</si>
  <si>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</si>
  <si>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</si>
  <si>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</si>
  <si>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</si>
  <si>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</si>
  <si>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</si>
  <si>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</si>
  <si>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</si>
  <si>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</si>
  <si>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</si>
  <si>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</si>
  <si>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</si>
  <si>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</si>
  <si>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</si>
  <si>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</si>
  <si>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</si>
  <si>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</si>
  <si>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</si>
  <si>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</si>
  <si>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</si>
  <si>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</si>
  <si>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</si>
  <si>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</si>
  <si>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</si>
  <si>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</si>
  <si>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</si>
  <si>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</si>
  <si>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</si>
  <si>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</si>
  <si>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</si>
  <si>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</si>
  <si>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</si>
  <si>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</si>
  <si>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</si>
  <si>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</si>
  <si>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</si>
  <si>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</si>
  <si>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</si>
  <si>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</si>
  <si>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</si>
  <si>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</si>
  <si>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</si>
  <si>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</si>
  <si>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</si>
  <si>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</si>
  <si>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</si>
  <si>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</si>
  <si>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</si>
  <si>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</si>
  <si>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</si>
  <si>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</si>
  <si>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</si>
  <si>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</si>
  <si>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</si>
  <si>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</si>
  <si>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</si>
  <si>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</si>
  <si>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</si>
  <si>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</si>
  <si>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</si>
  <si>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</si>
  <si>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</si>
  <si>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</si>
  <si>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</si>
  <si>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</si>
  <si>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</si>
  <si>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</si>
  <si>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</si>
  <si>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</si>
  <si>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</si>
  <si>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</si>
  <si>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</si>
  <si>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</si>
  <si>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</si>
  <si>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</si>
  <si>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</si>
  <si>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</si>
  <si>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</si>
  <si>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</si>
  <si>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</si>
  <si>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</si>
  <si>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</si>
  <si>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</si>
  <si>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</si>
  <si>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</si>
  <si>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</si>
  <si>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</si>
  <si>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</si>
  <si>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</si>
  <si>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</si>
  <si>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</si>
  <si>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</si>
  <si>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</si>
  <si>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</si>
  <si>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</si>
  <si>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</si>
  <si>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</si>
  <si>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</si>
  <si>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</si>
  <si>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</si>
  <si>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</si>
  <si>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</si>
  <si>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</si>
  <si>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</si>
  <si>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</si>
  <si>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</si>
  <si>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</si>
  <si>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</si>
  <si>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</si>
  <si>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</si>
  <si>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</si>
  <si>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</si>
  <si>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</si>
  <si>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</si>
  <si>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</si>
  <si>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</si>
  <si>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</si>
  <si>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</si>
  <si>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</si>
  <si>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</si>
  <si>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</si>
  <si>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</si>
  <si>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</si>
  <si>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</si>
  <si>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</si>
  <si>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</si>
  <si>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</si>
  <si>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</si>
  <si>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</si>
  <si>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</si>
  <si>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</si>
  <si>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</si>
  <si>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</si>
  <si>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</si>
  <si>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</si>
  <si>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</si>
  <si>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</si>
  <si>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</si>
  <si>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</si>
  <si>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</si>
  <si>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</si>
  <si>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</si>
  <si>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</si>
  <si>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</si>
  <si>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</si>
  <si>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</si>
  <si>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</si>
  <si>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</si>
  <si>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</si>
  <si>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</si>
  <si>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</si>
  <si>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</si>
  <si>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</si>
  <si>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</si>
  <si>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</si>
  <si>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</si>
  <si>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</si>
  <si>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</si>
  <si>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</si>
  <si>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</si>
  <si>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</si>
  <si>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</si>
  <si>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</si>
  <si>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</si>
  <si>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</si>
  <si>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</si>
  <si>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</si>
  <si>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</si>
  <si>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</si>
  <si>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</si>
  <si>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</si>
  <si>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</si>
  <si>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</si>
  <si>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</si>
  <si>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</si>
  <si>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</si>
  <si>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</si>
  <si>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</si>
  <si>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</si>
  <si>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</si>
  <si>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</si>
  <si>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</si>
  <si>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</si>
  <si>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</si>
  <si>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</si>
  <si>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</si>
  <si>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</si>
  <si>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</si>
  <si>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</si>
  <si>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</si>
  <si>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</si>
  <si>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</si>
  <si>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</si>
  <si>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</si>
  <si>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</si>
  <si>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</si>
  <si>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</si>
  <si>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</si>
  <si>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</si>
  <si>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</si>
  <si>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</si>
  <si>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</si>
  <si>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</si>
  <si>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</si>
  <si>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</si>
  <si>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</si>
  <si>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</si>
  <si>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</si>
  <si>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</si>
  <si>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</si>
  <si>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</si>
  <si>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</si>
  <si>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</si>
  <si>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</si>
  <si>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</si>
  <si>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</si>
  <si>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</si>
  <si>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</si>
  <si>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</si>
  <si>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</si>
  <si>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</si>
  <si>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</si>
  <si>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</si>
  <si>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</si>
  <si>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</si>
  <si>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</si>
  <si>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</si>
  <si>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</si>
  <si>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</si>
  <si>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</si>
  <si>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</si>
  <si>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</si>
  <si>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</si>
  <si>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</si>
  <si>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</si>
  <si>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</si>
  <si>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</si>
  <si>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</si>
  <si>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</si>
  <si>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</si>
  <si>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</si>
  <si>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</si>
  <si>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</si>
  <si>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</si>
  <si>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</si>
  <si>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</si>
  <si>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</si>
  <si>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</si>
  <si>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</si>
  <si>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</si>
  <si>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</si>
  <si>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</si>
  <si>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</si>
  <si>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</si>
  <si>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</si>
  <si>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</si>
  <si>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</si>
  <si>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</si>
  <si>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</si>
  <si>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</si>
  <si>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</si>
  <si>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</si>
  <si>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</si>
  <si>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</si>
  <si>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</si>
  <si>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</si>
  <si>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</si>
  <si>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</si>
  <si>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</si>
  <si>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</si>
  <si>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</si>
  <si>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</si>
  <si>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</si>
  <si>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</si>
  <si>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</si>
  <si>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</si>
  <si>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</si>
  <si>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</si>
  <si>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</si>
  <si>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</si>
  <si>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</si>
  <si>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</si>
  <si>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</si>
  <si>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</si>
  <si>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</si>
  <si>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</si>
  <si>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</si>
  <si>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</si>
  <si>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</si>
  <si>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</si>
  <si>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</si>
  <si>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</si>
  <si>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</si>
  <si>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</si>
  <si>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</si>
  <si>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</si>
  <si>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</si>
  <si>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</si>
  <si>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</si>
  <si>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</si>
  <si>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</si>
  <si>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</si>
  <si>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</si>
  <si>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</si>
  <si>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</si>
  <si>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</si>
  <si>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</si>
  <si>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</si>
  <si>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</si>
  <si>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</si>
  <si>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</si>
  <si>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</si>
  <si>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</si>
  <si>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</si>
  <si>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</si>
  <si>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</si>
  <si>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</si>
  <si>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</si>
  <si>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</si>
  <si>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</si>
  <si>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</si>
  <si>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</si>
  <si>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</si>
  <si>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</si>
  <si>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</si>
  <si>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</si>
  <si>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</si>
  <si>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</si>
  <si>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</si>
  <si>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</si>
  <si>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</si>
  <si>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</si>
  <si>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</si>
  <si>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</si>
  <si>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</si>
  <si>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</si>
  <si>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</si>
  <si>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</si>
  <si>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</si>
  <si>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</si>
  <si>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</si>
  <si>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</si>
  <si>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</si>
  <si>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</si>
  <si>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</si>
  <si>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</si>
  <si>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</si>
  <si>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</si>
  <si>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</si>
  <si>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</si>
  <si>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</si>
  <si>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</si>
  <si>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</si>
  <si>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</si>
  <si>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</si>
  <si>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</si>
  <si>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</si>
  <si>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</si>
  <si>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</si>
  <si>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</si>
  <si>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</si>
  <si>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</si>
  <si>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</si>
  <si>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</si>
  <si>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</si>
  <si>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</si>
  <si>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</si>
  <si>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</si>
  <si>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</si>
  <si>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</si>
  <si>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</si>
  <si>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</si>
  <si>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</si>
  <si>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</si>
  <si>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</si>
  <si>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</si>
  <si>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</si>
  <si>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</si>
  <si>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</si>
  <si>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</si>
  <si>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</si>
  <si>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</si>
  <si>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</si>
  <si>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</si>
  <si>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</si>
  <si>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</si>
  <si>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</si>
  <si>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</si>
  <si>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</si>
  <si>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</si>
  <si>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</si>
  <si>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</si>
  <si>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</si>
  <si>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</si>
  <si>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</si>
  <si>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</si>
  <si>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</si>
  <si>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</si>
  <si>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</si>
  <si>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</si>
  <si>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</si>
  <si>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</si>
  <si>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</si>
  <si>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</si>
  <si>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</si>
  <si>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</si>
  <si>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</si>
  <si>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</si>
  <si>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</si>
  <si>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</si>
  <si>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</si>
  <si>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</si>
  <si>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</si>
  <si>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</si>
  <si>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</si>
  <si>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</si>
  <si>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</si>
  <si>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</si>
  <si>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</si>
  <si>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</si>
  <si>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</si>
  <si>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</si>
  <si>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</si>
  <si>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</si>
  <si>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</si>
  <si>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</si>
  <si>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</si>
  <si>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</si>
  <si>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</si>
  <si>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</si>
  <si>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</si>
  <si>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</si>
  <si>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</si>
  <si>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</si>
  <si>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</si>
  <si>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</si>
  <si>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</si>
  <si>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</si>
  <si>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</si>
  <si>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</si>
  <si>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</si>
  <si>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</si>
  <si>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</si>
  <si>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</si>
  <si>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</si>
  <si>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</si>
  <si>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</si>
  <si>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</si>
  <si>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</si>
  <si>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</si>
  <si>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</si>
  <si>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</si>
  <si>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</si>
  <si>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</si>
  <si>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</si>
  <si>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</si>
  <si>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</si>
  <si>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</si>
  <si>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</si>
  <si>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</si>
  <si>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</si>
  <si>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</si>
  <si>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</si>
  <si>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</si>
  <si>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</si>
  <si>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</si>
  <si>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</si>
  <si>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</si>
  <si>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</si>
  <si>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</si>
  <si>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</si>
  <si>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</si>
  <si>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</si>
  <si>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</si>
  <si>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</si>
  <si>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</si>
  <si>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</si>
  <si>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</si>
  <si>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</si>
  <si>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</si>
  <si>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</si>
  <si>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</si>
  <si>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</si>
  <si>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</si>
  <si>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</si>
  <si>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</si>
  <si>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</si>
  <si>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</si>
  <si>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</si>
  <si>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</si>
  <si>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</si>
  <si>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</si>
  <si>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</si>
  <si>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</si>
  <si>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</si>
  <si>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</si>
  <si>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</si>
  <si>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</si>
  <si>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</si>
  <si>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</si>
  <si>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</si>
  <si>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</si>
  <si>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</si>
  <si>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</si>
  <si>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</si>
  <si>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</si>
  <si>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</si>
  <si>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</si>
  <si>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</si>
  <si>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</si>
  <si>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</si>
  <si>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</si>
  <si>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</si>
  <si>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</si>
  <si>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</si>
  <si>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</si>
  <si>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</si>
  <si>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</si>
  <si>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</si>
  <si>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</si>
  <si>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</si>
  <si>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</si>
  <si>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</si>
  <si>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</si>
  <si>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</si>
  <si>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</si>
  <si>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</si>
  <si>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</si>
  <si>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</si>
  <si>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</si>
  <si>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</si>
  <si>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</si>
  <si>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</si>
  <si>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</si>
  <si>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</si>
  <si>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</si>
  <si>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</si>
  <si>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</si>
  <si>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</si>
  <si>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</si>
  <si>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</si>
  <si>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</si>
  <si>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</si>
  <si>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</si>
  <si>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</si>
  <si>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</si>
  <si>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</si>
  <si>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</si>
  <si>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</si>
  <si>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</si>
  <si>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</si>
  <si>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</si>
  <si>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</si>
  <si>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</si>
  <si>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</si>
  <si>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</si>
  <si>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</si>
  <si>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</si>
  <si>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</si>
  <si>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</si>
  <si>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</si>
  <si>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</si>
  <si>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</si>
  <si>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</si>
  <si>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</si>
  <si>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</si>
  <si>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</si>
  <si>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</si>
  <si>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</si>
  <si>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</si>
  <si>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</si>
  <si>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</si>
  <si>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</si>
  <si>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</si>
  <si>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</si>
  <si>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</si>
  <si>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</si>
  <si>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</si>
  <si>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</si>
  <si>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</si>
  <si>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</si>
  <si>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</si>
  <si>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</si>
  <si>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</si>
  <si>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</si>
  <si>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</si>
  <si>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</si>
  <si>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</si>
  <si>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</si>
  <si>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</si>
  <si>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</si>
  <si>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</si>
  <si>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</si>
  <si>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</si>
  <si>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</si>
  <si>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</si>
  <si>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</si>
  <si>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</si>
  <si>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</si>
  <si>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</si>
  <si>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</si>
  <si>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</si>
  <si>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</si>
  <si>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</si>
  <si>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</si>
  <si>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</si>
  <si>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</si>
  <si>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</si>
  <si>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</si>
  <si>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</si>
  <si>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</si>
  <si>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</si>
  <si>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</si>
  <si>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</si>
  <si>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</si>
  <si>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</si>
  <si>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</si>
  <si>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</si>
  <si>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</si>
  <si>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</si>
  <si>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</si>
  <si>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</si>
  <si>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</si>
  <si>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</si>
  <si>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</si>
  <si>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</si>
  <si>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</si>
  <si>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</si>
  <si>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</si>
  <si>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</si>
  <si>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</si>
  <si>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</si>
  <si>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</si>
  <si>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</si>
  <si>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</si>
  <si>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</si>
  <si>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</si>
  <si>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</si>
  <si>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</si>
  <si>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</si>
  <si>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</si>
  <si>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</si>
  <si>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</si>
  <si>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</si>
  <si>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</si>
  <si>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</si>
  <si>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</si>
  <si>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</si>
  <si>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</si>
  <si>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</si>
  <si>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</si>
  <si>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</si>
  <si>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</si>
  <si>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</si>
  <si>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</si>
  <si>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</si>
  <si>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</si>
  <si>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</si>
  <si>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</si>
  <si>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</si>
  <si>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</si>
  <si>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</si>
  <si>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</si>
  <si>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</si>
  <si>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</si>
  <si>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</si>
  <si>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</si>
  <si>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</si>
  <si>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</si>
  <si>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</si>
  <si>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</si>
  <si>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</si>
  <si>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</si>
  <si>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</si>
  <si>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</si>
  <si>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</si>
  <si>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</si>
  <si>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</si>
  <si>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</si>
  <si>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</si>
  <si>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</si>
  <si>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</si>
  <si>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</si>
  <si>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</si>
  <si>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</si>
  <si>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</si>
  <si>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</si>
  <si>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</si>
  <si>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</si>
  <si>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</si>
  <si>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</si>
  <si>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</si>
  <si>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</si>
  <si>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</si>
  <si>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</si>
  <si>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</si>
  <si>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</si>
  <si>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</si>
  <si>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</si>
  <si>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</si>
  <si>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</si>
  <si>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</si>
  <si>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</si>
  <si>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</si>
  <si>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</si>
  <si>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</si>
  <si>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</si>
  <si>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</si>
  <si>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</si>
  <si>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</si>
  <si>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</si>
  <si>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</si>
  <si>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</si>
  <si>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</si>
  <si>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</si>
  <si>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</si>
  <si>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</si>
  <si>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</si>
  <si>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</si>
  <si>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</si>
  <si>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</si>
  <si>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</si>
  <si>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</si>
  <si>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</si>
  <si>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</si>
  <si>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</si>
  <si>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</si>
  <si>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</si>
  <si>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</si>
  <si>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</si>
  <si>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</si>
  <si>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</si>
  <si>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</si>
  <si>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</si>
  <si>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</si>
  <si>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</si>
  <si>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</si>
  <si>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</si>
  <si>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</si>
  <si>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</si>
  <si>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</si>
  <si>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</si>
  <si>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</si>
  <si>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</si>
  <si>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</si>
  <si>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</si>
  <si>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</si>
  <si>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</si>
  <si>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</si>
  <si>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</si>
  <si>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</si>
  <si>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</si>
  <si>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</si>
  <si>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</si>
  <si>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</si>
  <si>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</si>
  <si>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</si>
  <si>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</si>
  <si>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</si>
  <si>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</si>
  <si>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</si>
  <si>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</si>
  <si>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</si>
  <si>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</si>
  <si>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</si>
  <si>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</si>
  <si>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</si>
  <si>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</si>
  <si>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</si>
  <si>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</si>
  <si>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</si>
  <si>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</si>
  <si>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</si>
  <si>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</si>
  <si>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</si>
  <si>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</si>
  <si>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</si>
  <si>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</si>
  <si>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</si>
  <si>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</si>
  <si>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</si>
  <si>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</si>
  <si>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</si>
  <si>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</si>
  <si>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</si>
  <si>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</si>
  <si>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</si>
  <si>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</si>
  <si>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</si>
  <si>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</si>
  <si>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</si>
  <si>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</si>
  <si>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</si>
  <si>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</si>
  <si>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</si>
  <si>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</si>
  <si>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</si>
  <si>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</si>
  <si>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</si>
  <si>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</si>
  <si>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</si>
  <si>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</si>
  <si>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</si>
  <si>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</si>
  <si>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</si>
  <si>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</si>
  <si>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</si>
  <si>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</si>
  <si>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</si>
  <si>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</si>
  <si>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</si>
  <si>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</si>
  <si>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</si>
  <si>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</si>
  <si>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</si>
  <si>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</si>
  <si>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</si>
  <si>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</si>
  <si>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</si>
  <si>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</si>
  <si>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</si>
  <si>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</si>
  <si>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</si>
  <si>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</si>
  <si>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</si>
  <si>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</si>
  <si>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</si>
  <si>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</si>
  <si>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</si>
  <si>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</si>
  <si>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</si>
  <si>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</si>
  <si>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</si>
  <si>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</si>
  <si>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</si>
  <si>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</si>
  <si>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</si>
  <si>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</si>
  <si>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</si>
  <si>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</si>
  <si>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</si>
  <si>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</si>
  <si>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</si>
  <si>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</si>
  <si>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</si>
  <si>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</si>
  <si>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</si>
  <si>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</si>
  <si>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</si>
  <si>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</si>
  <si>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</si>
  <si>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</si>
  <si>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</si>
  <si>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</si>
  <si>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</si>
  <si>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</si>
  <si>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</si>
  <si>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</si>
  <si>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</si>
  <si>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</si>
  <si>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</si>
  <si>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</si>
  <si>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</si>
  <si>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</si>
  <si>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</si>
  <si>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</si>
  <si>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</si>
  <si>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</si>
  <si>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</si>
  <si>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</si>
  <si>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</si>
  <si>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</si>
  <si>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</si>
  <si>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</si>
  <si>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</si>
  <si>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</si>
  <si>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</si>
  <si>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</si>
  <si>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</si>
  <si>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</si>
  <si>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</si>
  <si>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</si>
  <si>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</si>
  <si>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</si>
  <si>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</si>
  <si>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</si>
  <si>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</si>
  <si>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</si>
  <si>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</si>
  <si>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</si>
  <si>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</si>
  <si>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</si>
  <si>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</si>
  <si>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</si>
  <si>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</si>
  <si>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</si>
  <si>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</si>
  <si>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</si>
  <si>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</si>
  <si>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</si>
  <si>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</si>
  <si>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</si>
  <si>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</si>
  <si>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</si>
  <si>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</si>
  <si>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</si>
  <si>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</si>
  <si>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</si>
  <si>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</si>
  <si>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</si>
  <si>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</si>
  <si>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</si>
  <si>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</si>
  <si>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</si>
  <si>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</si>
  <si>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</si>
  <si>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</si>
  <si>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</si>
  <si>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</si>
  <si>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</si>
  <si>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</si>
  <si>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</si>
  <si>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</si>
  <si>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</si>
  <si>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</si>
  <si>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</si>
  <si>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</si>
  <si>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</si>
  <si>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</si>
  <si>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</si>
  <si>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</si>
  <si>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</si>
  <si>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</si>
  <si>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</si>
  <si>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</si>
  <si>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</si>
  <si>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</si>
  <si>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</si>
  <si>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</si>
  <si>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</si>
  <si>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</si>
  <si>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</si>
  <si>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</si>
  <si>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</si>
  <si>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</si>
  <si>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</si>
  <si>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</si>
  <si>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</si>
  <si>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</si>
  <si>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</si>
  <si>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</si>
  <si>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</si>
  <si>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</si>
  <si>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</si>
  <si>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</si>
  <si>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</si>
  <si>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</si>
  <si>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</si>
  <si>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</si>
  <si>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</si>
  <si>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</si>
  <si>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</si>
  <si>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</si>
  <si>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</si>
  <si>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</si>
  <si>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</si>
  <si>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</si>
  <si>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</si>
  <si>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</si>
  <si>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</si>
  <si>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</si>
  <si>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</si>
  <si>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</si>
  <si>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</si>
  <si>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</si>
  <si>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</si>
  <si>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</si>
  <si>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</si>
  <si>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</si>
  <si>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</si>
  <si>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</si>
  <si>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</si>
  <si>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</si>
  <si>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</si>
  <si>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</si>
  <si>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</si>
  <si>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</si>
  <si>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</si>
  <si>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</si>
  <si>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</si>
  <si>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</si>
  <si>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</si>
  <si>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</si>
  <si>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</si>
  <si>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</si>
  <si>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</si>
  <si>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</si>
  <si>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</si>
  <si>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</si>
  <si>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</si>
  <si>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</si>
  <si>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</si>
  <si>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</si>
  <si>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</si>
  <si>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</si>
  <si>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</si>
  <si>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</si>
  <si>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</si>
  <si>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</si>
  <si>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</si>
  <si>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</si>
  <si>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</si>
  <si>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</si>
  <si>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</si>
  <si>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</si>
  <si>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</si>
  <si>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</si>
  <si>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</si>
  <si>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</si>
  <si>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</si>
  <si>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</si>
  <si>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</si>
  <si>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</si>
  <si>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</si>
  <si>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</si>
  <si>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</si>
  <si>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</si>
  <si>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</si>
  <si>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</si>
  <si>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</si>
  <si>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</si>
  <si>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</si>
  <si>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</si>
  <si>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</si>
  <si>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</si>
  <si>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</si>
  <si>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</si>
  <si>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</si>
  <si>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</si>
  <si>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</si>
  <si>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</si>
  <si>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</si>
  <si>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</si>
  <si>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</si>
  <si>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</si>
  <si>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</si>
  <si>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</si>
  <si>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</si>
  <si>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</si>
  <si>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</si>
  <si>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</si>
  <si>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</si>
  <si>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</si>
  <si>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</si>
  <si>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</si>
  <si>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</si>
  <si>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</si>
  <si>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</si>
  <si>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</si>
  <si>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</si>
  <si>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</si>
  <si>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</si>
  <si>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</si>
  <si>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</si>
  <si>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</si>
  <si>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</si>
  <si>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</si>
  <si>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</si>
  <si>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</si>
  <si>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</si>
  <si>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</si>
  <si>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</si>
  <si>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</si>
  <si>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</si>
  <si>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</si>
  <si>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</si>
  <si>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</si>
  <si>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</si>
  <si>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</si>
  <si>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</si>
  <si>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</si>
  <si>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</si>
  <si>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</si>
  <si>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</si>
  <si>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</si>
  <si>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</si>
  <si>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</si>
  <si>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</si>
  <si>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</si>
  <si>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</si>
  <si>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</si>
  <si>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</si>
  <si>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</si>
  <si>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</si>
  <si>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</si>
  <si>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</si>
  <si>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</si>
  <si>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</si>
  <si>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</si>
  <si>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</si>
  <si>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</si>
  <si>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</si>
  <si>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</si>
  <si>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</si>
  <si>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</si>
  <si>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</si>
  <si>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</si>
  <si>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</si>
  <si>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</si>
  <si>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</si>
  <si>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</si>
  <si>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</si>
  <si>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</si>
  <si>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</si>
  <si>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</si>
  <si>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</si>
  <si>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</si>
  <si>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</si>
  <si>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</si>
  <si>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</si>
  <si>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</si>
  <si>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</si>
  <si>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</si>
  <si>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</si>
  <si>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</si>
  <si>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</si>
  <si>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</si>
  <si>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</si>
  <si>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</si>
  <si>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</si>
  <si>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</si>
  <si>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</si>
  <si>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</si>
  <si>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</si>
  <si>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</si>
  <si>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</si>
  <si>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</si>
  <si>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</si>
  <si>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</si>
  <si>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</si>
  <si>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</si>
  <si>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</si>
  <si>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</si>
  <si>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</si>
  <si>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</si>
  <si>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</si>
  <si>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</si>
  <si>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</si>
  <si>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</si>
  <si>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</si>
  <si>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</si>
  <si>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</si>
  <si>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</si>
  <si>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</si>
  <si>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</si>
  <si>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</si>
  <si>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</si>
  <si>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</si>
  <si>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</si>
  <si>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</si>
  <si>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</si>
  <si>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</si>
  <si>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</si>
  <si>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</si>
  <si>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</si>
  <si>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</si>
  <si>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</si>
  <si>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</si>
  <si>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</si>
  <si>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</si>
  <si>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</si>
  <si>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</si>
  <si>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</si>
  <si>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</si>
  <si>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</si>
  <si>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</si>
  <si>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</si>
  <si>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</si>
  <si>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</si>
  <si>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</si>
  <si>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</si>
  <si>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</si>
  <si>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</si>
  <si>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</si>
  <si>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</si>
  <si>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</si>
  <si>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</si>
  <si>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</si>
  <si>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</si>
  <si>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</si>
  <si>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</si>
  <si>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</si>
  <si>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</si>
  <si>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</si>
  <si>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</si>
  <si>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</si>
  <si>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</si>
  <si>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</si>
  <si>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</si>
  <si>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</si>
  <si>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</si>
  <si>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</si>
  <si>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</si>
  <si>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</si>
  <si>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</si>
  <si>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</si>
  <si>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</si>
  <si>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</si>
  <si>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</si>
  <si>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</si>
  <si>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</si>
  <si>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</si>
  <si>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</si>
  <si>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</si>
  <si>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</si>
  <si>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</si>
  <si>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</si>
  <si>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</si>
  <si>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</si>
  <si>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</si>
  <si>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</si>
  <si>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</si>
  <si>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</si>
  <si>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</si>
  <si>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</si>
  <si>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</si>
  <si>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</si>
  <si>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</si>
  <si>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</si>
  <si>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</si>
  <si>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</si>
  <si>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</si>
  <si>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</si>
  <si>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</si>
  <si>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</si>
  <si>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</si>
  <si>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</si>
  <si>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</si>
  <si>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</si>
  <si>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</si>
  <si>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</si>
  <si>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</si>
  <si>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</si>
  <si>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</si>
  <si>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</si>
  <si>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</si>
  <si>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</si>
  <si>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</si>
  <si>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</si>
  <si>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</si>
  <si>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</si>
  <si>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</si>
  <si>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</si>
  <si>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</si>
  <si>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</si>
  <si>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</si>
  <si>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</si>
  <si>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</si>
  <si>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</si>
  <si>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</si>
  <si>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</si>
  <si>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</si>
  <si>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</si>
  <si>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</si>
  <si>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</si>
  <si>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</si>
  <si>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</si>
  <si>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</si>
  <si>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</si>
  <si>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</si>
  <si>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</si>
  <si>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</si>
  <si>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</si>
  <si>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</si>
  <si>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</si>
  <si>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</si>
  <si>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</si>
  <si>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</si>
  <si>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</si>
  <si>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</si>
  <si>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</si>
  <si>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</si>
  <si>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</si>
  <si>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</si>
  <si>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</si>
  <si>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</si>
  <si>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</si>
  <si>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</si>
  <si>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</si>
  <si>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</si>
  <si>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</si>
  <si>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</si>
  <si>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</si>
  <si>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</si>
  <si>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</si>
  <si>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</si>
  <si>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</si>
  <si>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</si>
  <si>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</si>
  <si>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</si>
  <si>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</si>
  <si>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</si>
  <si>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</si>
  <si>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</si>
  <si>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</si>
  <si>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</si>
  <si>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</si>
  <si>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</si>
  <si>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</si>
  <si>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</si>
  <si>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</si>
  <si>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</si>
  <si>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</si>
  <si>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</si>
  <si>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</si>
  <si>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</si>
  <si>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</si>
  <si>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</si>
  <si>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</si>
  <si>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</si>
  <si>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</si>
  <si>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</si>
  <si>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</si>
  <si>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</si>
  <si>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</si>
  <si>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</si>
  <si>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</si>
  <si>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</si>
  <si>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</si>
  <si>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</si>
  <si>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</si>
  <si>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</si>
  <si>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</si>
  <si>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</si>
  <si>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</si>
  <si>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</si>
  <si>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</si>
  <si>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</si>
  <si>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</si>
  <si>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</si>
  <si>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</si>
  <si>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</si>
  <si>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</si>
  <si>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</si>
  <si>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</si>
  <si>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</si>
  <si>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</si>
  <si>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</si>
  <si>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</si>
  <si>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</si>
  <si>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</si>
  <si>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</si>
  <si>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</si>
  <si>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</si>
  <si>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</si>
  <si>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</si>
  <si>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</si>
  <si>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</si>
  <si>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</si>
  <si>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</si>
  <si>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</si>
  <si>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</si>
  <si>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</si>
  <si>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</si>
  <si>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</si>
  <si>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</si>
  <si>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</si>
  <si>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</si>
  <si>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</si>
  <si>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</si>
  <si>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</si>
  <si>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</si>
  <si>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</si>
  <si>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</si>
  <si>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</si>
  <si>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</si>
  <si>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</si>
  <si>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</si>
  <si>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</si>
  <si>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</si>
  <si>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</si>
  <si>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</si>
  <si>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</si>
  <si>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</si>
  <si>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</si>
  <si>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</si>
  <si>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</si>
  <si>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</si>
  <si>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</si>
  <si>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</si>
  <si>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</si>
  <si>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</si>
  <si>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</si>
  <si>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</si>
  <si>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</si>
  <si>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</si>
  <si>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</si>
  <si>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</si>
  <si>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</si>
  <si>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</si>
  <si>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</si>
  <si>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</si>
  <si>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</si>
  <si>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</si>
  <si>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</si>
  <si>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</si>
  <si>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</si>
  <si>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</si>
  <si>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</si>
  <si>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</si>
  <si>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</si>
  <si>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</si>
  <si>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</si>
  <si>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</si>
  <si>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</si>
  <si>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</si>
  <si>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</si>
  <si>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</si>
  <si>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</si>
  <si>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</si>
  <si>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</si>
  <si>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</si>
  <si>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</si>
  <si>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</si>
  <si>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</si>
  <si>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</si>
  <si>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</si>
  <si>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</si>
  <si>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</si>
  <si>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</si>
  <si>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</si>
  <si>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</si>
  <si>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</si>
  <si>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</si>
  <si>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</si>
  <si>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</si>
  <si>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</si>
  <si>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</si>
  <si>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</si>
  <si>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</si>
  <si>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</si>
  <si>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</si>
  <si>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</si>
  <si>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</si>
  <si>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</si>
  <si>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</si>
  <si>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</si>
  <si>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</si>
  <si>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</si>
  <si>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</si>
  <si>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</si>
  <si>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</si>
  <si>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</si>
  <si>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</si>
  <si>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</si>
  <si>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</si>
  <si>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</si>
  <si>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</si>
  <si>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</si>
  <si>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</si>
  <si>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</si>
  <si>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</si>
  <si>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</si>
  <si>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</si>
  <si>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</si>
  <si>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</si>
  <si>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</si>
  <si>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</si>
  <si>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</si>
  <si>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</si>
  <si>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</si>
  <si>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</si>
  <si>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</si>
  <si>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</si>
  <si>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</si>
  <si>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</si>
  <si>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</si>
  <si>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</si>
  <si>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</si>
  <si>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</si>
  <si>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</si>
  <si>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</si>
  <si>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</si>
  <si>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</si>
  <si>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</si>
  <si>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</si>
  <si>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</si>
  <si>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</si>
  <si>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</si>
  <si>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</si>
  <si>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</si>
  <si>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</si>
  <si>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</si>
  <si>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</si>
  <si>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</si>
  <si>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</si>
  <si>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</si>
  <si>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</si>
  <si>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</si>
  <si>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</si>
  <si>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</si>
  <si>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</si>
  <si>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</si>
  <si>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</si>
  <si>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</si>
  <si>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</si>
  <si>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</si>
  <si>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</si>
  <si>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</si>
  <si>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</si>
  <si>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</si>
  <si>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</si>
  <si>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</si>
  <si>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</si>
  <si>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</si>
  <si>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</si>
  <si>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</si>
  <si>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</si>
  <si>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</si>
  <si>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</si>
  <si>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</si>
  <si>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</si>
  <si>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</si>
  <si>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</si>
  <si>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</si>
  <si>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</si>
  <si>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</si>
  <si>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</si>
  <si>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</si>
  <si>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</si>
  <si>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</si>
  <si>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</si>
  <si>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</si>
  <si>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</si>
  <si>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</si>
  <si>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</si>
  <si>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</si>
  <si>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</si>
  <si>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</si>
  <si>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</si>
  <si>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</si>
  <si>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</si>
  <si>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</si>
  <si>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</si>
  <si>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</si>
  <si>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</si>
  <si>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</si>
  <si>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</si>
  <si>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</si>
  <si>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</si>
  <si>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</si>
  <si>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</si>
  <si>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</si>
  <si>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</si>
  <si>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</si>
  <si>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</si>
  <si>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</si>
  <si>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</si>
  <si>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</si>
  <si>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</si>
  <si>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</si>
  <si>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</si>
  <si>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</si>
  <si>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</si>
  <si>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</si>
  <si>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</si>
  <si>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</si>
  <si>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</si>
  <si>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</si>
  <si>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</si>
  <si>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</si>
  <si>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</si>
  <si>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</si>
  <si>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</si>
  <si>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</si>
  <si>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</si>
  <si>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</si>
  <si>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</si>
  <si>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</si>
  <si>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</si>
  <si>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</si>
  <si>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</si>
  <si>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</si>
  <si>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</si>
  <si>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</si>
  <si>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</si>
  <si>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</si>
  <si>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</si>
  <si>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</si>
  <si>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</si>
  <si>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</si>
  <si>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</si>
  <si>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</si>
  <si>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</si>
  <si>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</si>
  <si>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</si>
  <si>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</si>
  <si>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</si>
  <si>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</si>
  <si>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</si>
  <si>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</si>
  <si>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</si>
  <si>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</si>
  <si>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</si>
  <si>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</si>
  <si>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</si>
  <si>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</si>
  <si>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</si>
  <si>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</si>
  <si>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</si>
  <si>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</si>
  <si>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</si>
  <si>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</si>
  <si>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</si>
  <si>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</si>
  <si>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</si>
  <si>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</si>
  <si>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</si>
  <si>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</si>
  <si>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</si>
  <si>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</si>
  <si>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</si>
  <si>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</si>
  <si>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</si>
  <si>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</si>
  <si>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</si>
  <si>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</si>
  <si>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</si>
  <si>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</si>
  <si>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</si>
  <si>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</si>
  <si>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</si>
  <si>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</si>
  <si>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</si>
  <si>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</si>
  <si>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</si>
  <si>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</si>
  <si>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</si>
  <si>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</si>
  <si>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</si>
  <si>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</si>
  <si>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</si>
  <si>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</si>
  <si>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</si>
  <si>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</si>
  <si>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</si>
  <si>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</si>
  <si>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</si>
  <si>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</si>
  <si>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</si>
  <si>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</si>
  <si>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</si>
  <si>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</si>
  <si>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</si>
  <si>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</si>
  <si>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</si>
  <si>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</si>
  <si>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</si>
  <si>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</si>
  <si>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</si>
  <si>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</si>
  <si>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</si>
  <si>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</si>
  <si>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</si>
  <si>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</si>
  <si>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</si>
  <si>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</si>
  <si>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</si>
  <si>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</si>
  <si>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</si>
  <si>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</si>
  <si>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</si>
  <si>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</si>
  <si>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</si>
  <si>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</si>
  <si>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</si>
  <si>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</si>
  <si>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</si>
  <si>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</si>
  <si>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</si>
  <si>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</si>
  <si>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</si>
  <si>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</si>
  <si>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</si>
  <si>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</si>
  <si>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</si>
  <si>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</si>
  <si>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</si>
  <si>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</si>
  <si>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</si>
  <si>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</si>
  <si>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</si>
  <si>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</si>
  <si>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</si>
  <si>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</si>
  <si>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</si>
  <si>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</si>
  <si>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</si>
  <si>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</si>
  <si>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</si>
  <si>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</si>
  <si>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</si>
  <si>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</si>
  <si>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</si>
  <si>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</si>
  <si>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</si>
  <si>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</si>
  <si>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</si>
  <si>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</si>
  <si>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</si>
  <si>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</si>
  <si>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</si>
  <si>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</si>
  <si>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</si>
  <si>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</si>
  <si>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</si>
  <si>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</si>
  <si>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</si>
  <si>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</si>
  <si>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</si>
  <si>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</si>
  <si>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</si>
  <si>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</si>
  <si>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</si>
  <si>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</si>
  <si>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</si>
  <si>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</si>
  <si>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</si>
  <si>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</si>
  <si>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</si>
  <si>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</si>
  <si>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</si>
  <si>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</si>
  <si>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</si>
  <si>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</si>
  <si>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</si>
  <si>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</si>
  <si>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</si>
  <si>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</si>
  <si>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</si>
  <si>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</si>
  <si>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</si>
  <si>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</si>
  <si>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</si>
  <si>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</si>
  <si>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</si>
  <si>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</si>
  <si>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</si>
  <si>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</si>
  <si>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</si>
  <si>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</si>
  <si>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</si>
  <si>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</si>
  <si>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</si>
  <si>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</si>
  <si>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</si>
  <si>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</si>
  <si>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</si>
  <si>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</si>
  <si>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</si>
  <si>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</si>
  <si>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</si>
  <si>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</si>
  <si>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</si>
  <si>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</si>
  <si>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</si>
  <si>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</si>
  <si>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</si>
  <si>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</si>
  <si>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</si>
  <si>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</si>
  <si>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</si>
  <si>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</si>
  <si>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</si>
  <si>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</si>
  <si>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</si>
  <si>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</si>
  <si>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</si>
  <si>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</si>
  <si>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</si>
  <si>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</si>
  <si>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</si>
  <si>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</si>
  <si>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</si>
  <si>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</si>
  <si>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</si>
  <si>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</si>
  <si>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</si>
  <si>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</si>
  <si>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</si>
  <si>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</si>
  <si>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</si>
  <si>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</si>
  <si>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</si>
  <si>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</si>
  <si>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</si>
  <si>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</si>
  <si>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</si>
  <si>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</si>
  <si>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</si>
  <si>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</si>
  <si>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</si>
  <si>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</si>
  <si>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</si>
  <si>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</si>
  <si>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</si>
  <si>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</si>
  <si>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</si>
  <si>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</si>
  <si>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</si>
  <si>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</si>
  <si>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</si>
  <si>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</si>
  <si>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</si>
  <si>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</si>
  <si>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</si>
  <si>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</si>
  <si>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</si>
  <si>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</si>
  <si>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</si>
  <si>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</si>
  <si>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</si>
  <si>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</si>
  <si>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</si>
  <si>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</si>
  <si>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</si>
  <si>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</si>
  <si>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</si>
  <si>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</si>
  <si>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</si>
  <si>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</si>
  <si>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</si>
  <si>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</si>
  <si>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</si>
  <si>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</si>
  <si>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</si>
  <si>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</si>
  <si>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</si>
  <si>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</si>
  <si>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</si>
  <si>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</si>
  <si>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</si>
  <si>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</si>
  <si>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</si>
  <si>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</si>
  <si>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</si>
  <si>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</si>
  <si>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</si>
  <si>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</si>
  <si>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</si>
  <si>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</si>
  <si>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</si>
  <si>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</si>
  <si>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</si>
  <si>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</si>
  <si>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</si>
  <si>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</si>
  <si>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</si>
  <si>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</si>
  <si>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</si>
  <si>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</si>
  <si>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</si>
  <si>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</si>
  <si>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</si>
  <si>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</si>
  <si>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</si>
  <si>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</si>
  <si>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</si>
  <si>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</si>
  <si>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</si>
  <si>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</si>
  <si>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</si>
  <si>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</si>
  <si>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</si>
  <si>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</si>
  <si>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</si>
  <si>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</si>
  <si>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</si>
  <si>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</si>
  <si>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</si>
  <si>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</si>
  <si>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</si>
  <si>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</si>
  <si>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</si>
  <si>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</si>
  <si>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</si>
  <si>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</si>
  <si>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</si>
  <si>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</si>
  <si>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</si>
  <si>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</si>
  <si>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</si>
  <si>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</si>
  <si>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</si>
  <si>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</si>
  <si>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</si>
  <si>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</si>
  <si>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</si>
  <si>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</si>
  <si>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</si>
  <si>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</si>
  <si>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</si>
  <si>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</si>
  <si>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</si>
  <si>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</si>
  <si>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</si>
  <si>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</si>
  <si>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</si>
  <si>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</si>
  <si>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</si>
  <si>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</si>
  <si>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</si>
  <si>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</si>
  <si>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</si>
  <si>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</si>
  <si>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</si>
  <si>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</si>
  <si>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</si>
  <si>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</si>
  <si>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</si>
  <si>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</si>
  <si>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</si>
  <si>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</si>
  <si>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</si>
  <si>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</si>
  <si>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</si>
  <si>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</si>
  <si>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</si>
  <si>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</si>
  <si>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</si>
  <si>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</si>
  <si>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</si>
  <si>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</si>
  <si>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</si>
  <si>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</si>
  <si>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</si>
  <si>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</si>
  <si>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</si>
  <si>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</si>
  <si>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</si>
  <si>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</si>
  <si>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</si>
  <si>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</si>
  <si>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</si>
  <si>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</si>
  <si>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</si>
  <si>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</si>
  <si>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</si>
  <si>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</si>
  <si>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</si>
  <si>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</si>
  <si>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</si>
  <si>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</si>
  <si>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</si>
  <si>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</si>
  <si>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</si>
  <si>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</si>
  <si>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</si>
  <si>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</si>
  <si>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</si>
  <si>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</si>
  <si>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</si>
  <si>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</si>
  <si>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</si>
  <si>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</si>
  <si>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</si>
  <si>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</si>
  <si>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</si>
  <si>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</si>
  <si>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</si>
  <si>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</si>
  <si>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</si>
  <si>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</si>
  <si>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</si>
  <si>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</si>
  <si>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</si>
  <si>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</si>
  <si>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</si>
  <si>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</si>
  <si>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</si>
  <si>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</si>
  <si>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</si>
  <si>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</si>
  <si>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</si>
  <si>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</si>
  <si>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</si>
  <si>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</si>
  <si>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</si>
  <si>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</si>
  <si>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</si>
  <si>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</si>
  <si>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</si>
  <si>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</si>
  <si>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</si>
  <si>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</si>
  <si>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</si>
  <si>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</si>
  <si>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</si>
  <si>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</si>
  <si>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</si>
  <si>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</si>
  <si>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</si>
  <si>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</si>
  <si>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</si>
  <si>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</si>
  <si>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</si>
  <si>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</si>
  <si>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</si>
  <si>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</si>
  <si>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</si>
  <si>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</si>
  <si>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</si>
  <si>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</si>
  <si>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</si>
  <si>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</si>
  <si>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</si>
  <si>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</si>
  <si>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</si>
  <si>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</si>
  <si>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</si>
  <si>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</si>
  <si>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</si>
  <si>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</si>
  <si>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</si>
  <si>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</si>
  <si>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</si>
  <si>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</si>
  <si>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</si>
  <si>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</si>
  <si>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</si>
  <si>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</si>
  <si>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</si>
  <si>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</si>
  <si>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</si>
  <si>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</si>
  <si>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</si>
  <si>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</si>
  <si>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</si>
  <si>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</si>
  <si>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</si>
  <si>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</si>
  <si>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</si>
  <si>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</si>
  <si>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</si>
  <si>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</si>
  <si>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</si>
  <si>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</si>
  <si>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</si>
  <si>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</si>
  <si>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</si>
  <si>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</si>
  <si>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</si>
  <si>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</si>
  <si>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</si>
  <si>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</si>
  <si>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</si>
  <si>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</si>
  <si>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</si>
  <si>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</si>
  <si>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</si>
  <si>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</si>
  <si>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</si>
  <si>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</si>
  <si>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</si>
  <si>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</si>
  <si>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</si>
  <si>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</si>
  <si>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</si>
  <si>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</si>
  <si>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</si>
  <si>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</si>
  <si>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</si>
  <si>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</si>
  <si>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</si>
  <si>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</si>
  <si>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</si>
  <si>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</si>
  <si>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</si>
  <si>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</si>
  <si>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</si>
  <si>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</si>
  <si>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</si>
  <si>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</si>
  <si>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</si>
  <si>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</si>
  <si>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</si>
  <si>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</si>
  <si>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</si>
  <si>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</si>
  <si>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</si>
  <si>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</si>
  <si>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</si>
  <si>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</si>
  <si>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</si>
  <si>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</si>
  <si>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</si>
  <si>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</si>
  <si>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</si>
  <si>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</si>
  <si>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</si>
  <si>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</si>
  <si>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</si>
  <si>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</si>
  <si>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</si>
  <si>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</si>
  <si>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</si>
  <si>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</si>
  <si>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</si>
  <si>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</si>
  <si>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</si>
  <si>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</si>
  <si>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</si>
  <si>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</si>
  <si>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</si>
  <si>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</si>
  <si>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</si>
  <si>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</si>
  <si>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</si>
  <si>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</si>
  <si>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</si>
  <si>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</si>
  <si>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</si>
  <si>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</si>
  <si>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</si>
  <si>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</si>
  <si>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</si>
  <si>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</si>
  <si>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</si>
  <si>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</si>
  <si>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</si>
  <si>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</si>
  <si>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</si>
  <si>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</si>
  <si>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</si>
  <si>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</si>
  <si>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</si>
  <si>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</si>
  <si>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</si>
  <si>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</si>
  <si>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</si>
  <si>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</si>
  <si>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</si>
  <si>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</si>
  <si>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</si>
  <si>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</si>
  <si>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</si>
  <si>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</si>
  <si>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</si>
  <si>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Metallic Resources Inc.</t>
  </si>
  <si>
    <t>Lynne Fetsko</t>
  </si>
  <si>
    <t>lfetsko@metallicresources.com</t>
  </si>
  <si>
    <t>330-425-3155</t>
  </si>
  <si>
    <t>Stanley Rothschild Jr.</t>
  </si>
  <si>
    <t>srothschildjr@metallicresources.com</t>
  </si>
  <si>
    <t>100% originate from recycled or scrap sources</t>
  </si>
  <si>
    <t>100%</t>
  </si>
  <si>
    <t>All material received from recycled sources</t>
  </si>
  <si>
    <t>https://metallicresources.com/wp-content/uploads/2025/03/Responsible-Sourcing-Policy.pdf</t>
  </si>
  <si>
    <t>recycled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</si>
</sst>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fetsko@metallicresourc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metallicresources.com/wp-content/uploads/2025/03/Responsible-Sourcing-Policy.pdf" TargetMode="External"/><Relationship Id="rId4" Type="http://schemas.openxmlformats.org/officeDocument/2006/relationships/hyperlink" Target="mailto:srothschildjr@metallicresourc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3.5"/>
  <cols>
    <col min="1" max="1" width="0.84375" customWidth="1"/>
    <col min="2" max="2" width="8" customWidth="1"/>
    <col min="3" max="3" width="8.61328125" customWidth="1"/>
    <col min="4" max="4" width="13" style="164" customWidth="1"/>
    <col min="5" max="5" width="42.3828125" customWidth="1"/>
    <col min="6" max="6" width="53.3828125" customWidth="1"/>
    <col min="7" max="7" width="0.84375" customWidth="1"/>
  </cols>
  <sheetData>
    <row r="1" spans="1:7" ht="14" thickTop="1">
      <c r="A1" s="6"/>
      <c r="B1" s="7"/>
      <c r="C1" s="7"/>
      <c r="D1" s="158"/>
      <c r="E1" s="7"/>
      <c r="F1" s="7"/>
      <c r="G1" s="8"/>
    </row>
    <row r="2" spans="1:7">
      <c r="A2" s="373"/>
      <c r="B2" s="4" t="s">
        <v>807</v>
      </c>
      <c r="C2" s="2"/>
      <c r="D2" s="159"/>
      <c r="E2" s="2"/>
      <c r="F2" s="2"/>
      <c r="G2" s="24"/>
    </row>
    <row r="3" spans="1:7">
      <c r="A3" s="373"/>
      <c r="B3" s="2" t="s">
        <v>800</v>
      </c>
      <c r="C3" s="4"/>
      <c r="D3" s="160"/>
      <c r="E3" s="2"/>
      <c r="F3" s="4"/>
      <c r="G3" s="24"/>
    </row>
    <row r="4" spans="1:7" ht="15">
      <c r="A4" s="373"/>
      <c r="B4" s="27" t="s">
        <v>809</v>
      </c>
      <c r="C4" s="5"/>
      <c r="D4" s="161"/>
      <c r="E4" s="2"/>
      <c r="F4" s="5"/>
      <c r="G4" s="24"/>
    </row>
    <row r="5" spans="1:7">
      <c r="A5" s="373"/>
      <c r="B5" s="26" t="s">
        <v>998</v>
      </c>
      <c r="C5" s="3"/>
      <c r="D5" s="162"/>
      <c r="E5" s="2"/>
      <c r="F5" s="3"/>
      <c r="G5" s="24"/>
    </row>
    <row r="6" spans="1:7">
      <c r="A6" s="373"/>
      <c r="B6" s="2"/>
      <c r="C6" s="2"/>
      <c r="D6" s="159"/>
      <c r="E6" s="2"/>
      <c r="F6" s="2"/>
      <c r="G6" s="24"/>
    </row>
    <row r="7" spans="1:7">
      <c r="A7" s="373"/>
      <c r="B7" s="2"/>
      <c r="C7" s="2"/>
      <c r="D7" s="159"/>
      <c r="E7" s="2"/>
      <c r="F7" s="2"/>
      <c r="G7" s="24"/>
    </row>
    <row r="8" spans="1:7">
      <c r="A8" s="373"/>
      <c r="B8" s="2"/>
      <c r="C8" s="2"/>
      <c r="D8" s="159"/>
      <c r="E8" s="2"/>
      <c r="F8" s="2"/>
      <c r="G8" s="24"/>
    </row>
    <row r="9" spans="1:7">
      <c r="A9" s="373"/>
      <c r="B9" s="376" t="s">
        <v>810</v>
      </c>
      <c r="C9" s="376"/>
      <c r="D9" s="376"/>
      <c r="E9" s="376"/>
      <c r="F9" s="376"/>
      <c r="G9" s="24"/>
    </row>
    <row r="10" spans="1:7" ht="27" customHeight="1">
      <c r="A10" s="373"/>
      <c r="B10" s="377" t="s">
        <v>423</v>
      </c>
      <c r="C10" s="377"/>
      <c r="D10" s="377"/>
      <c r="E10" s="377"/>
      <c r="F10" s="377"/>
      <c r="G10" s="24"/>
    </row>
    <row r="11" spans="1:7" ht="27" customHeight="1">
      <c r="A11" s="373"/>
      <c r="B11" s="378"/>
      <c r="C11" s="378"/>
      <c r="D11" s="378"/>
      <c r="E11" s="378"/>
      <c r="F11" s="378"/>
      <c r="G11" s="24"/>
    </row>
    <row r="12" spans="1:7">
      <c r="A12" s="373"/>
      <c r="B12" s="28" t="s">
        <v>808</v>
      </c>
      <c r="C12" s="29" t="s">
        <v>811</v>
      </c>
      <c r="D12" s="163" t="s">
        <v>812</v>
      </c>
      <c r="E12" s="29" t="s">
        <v>593</v>
      </c>
      <c r="F12" s="29" t="s">
        <v>594</v>
      </c>
      <c r="G12" s="24"/>
    </row>
    <row r="13" spans="1:7" ht="34.5">
      <c r="A13" s="373"/>
      <c r="B13" s="275">
        <v>1</v>
      </c>
      <c r="C13" s="276" t="s">
        <v>1046</v>
      </c>
      <c r="D13" s="277" t="s">
        <v>836</v>
      </c>
      <c r="E13" s="278" t="s">
        <v>813</v>
      </c>
      <c r="F13" s="278"/>
      <c r="G13" s="24"/>
    </row>
    <row r="14" spans="1:7" ht="46">
      <c r="A14" s="373"/>
      <c r="B14" s="275">
        <v>2</v>
      </c>
      <c r="C14" s="276" t="s">
        <v>1046</v>
      </c>
      <c r="D14" s="277" t="s">
        <v>983</v>
      </c>
      <c r="E14" s="278" t="s">
        <v>513</v>
      </c>
      <c r="F14" s="278" t="s">
        <v>514</v>
      </c>
      <c r="G14" s="24"/>
    </row>
    <row r="15" spans="1:7" ht="89.15" customHeight="1">
      <c r="A15" s="373"/>
      <c r="B15" s="358">
        <v>2.0099999999999998</v>
      </c>
      <c r="C15" s="370" t="s">
        <v>1046</v>
      </c>
      <c r="D15" s="379" t="s">
        <v>2150</v>
      </c>
      <c r="E15" s="279" t="s">
        <v>595</v>
      </c>
      <c r="F15" s="279" t="s">
        <v>598</v>
      </c>
      <c r="G15" s="24"/>
    </row>
    <row r="16" spans="1:7" ht="99" customHeight="1">
      <c r="A16" s="373"/>
      <c r="B16" s="359"/>
      <c r="C16" s="371"/>
      <c r="D16" s="380"/>
      <c r="E16" s="280"/>
      <c r="F16" s="280" t="s">
        <v>596</v>
      </c>
      <c r="G16" s="24"/>
    </row>
    <row r="17" spans="1:7" ht="63" customHeight="1">
      <c r="A17" s="373"/>
      <c r="B17" s="360"/>
      <c r="C17" s="372"/>
      <c r="D17" s="381"/>
      <c r="E17" s="276"/>
      <c r="F17" s="276" t="s">
        <v>597</v>
      </c>
      <c r="G17" s="24"/>
    </row>
    <row r="18" spans="1:7" ht="117" customHeight="1">
      <c r="A18" s="373"/>
      <c r="B18" s="358">
        <v>2.02</v>
      </c>
      <c r="C18" s="370" t="s">
        <v>1046</v>
      </c>
      <c r="D18" s="379" t="s">
        <v>2151</v>
      </c>
      <c r="E18" s="279" t="s">
        <v>424</v>
      </c>
      <c r="F18" s="279" t="s">
        <v>508</v>
      </c>
      <c r="G18" s="24"/>
    </row>
    <row r="19" spans="1:7" ht="71.150000000000006" customHeight="1">
      <c r="A19" s="373"/>
      <c r="B19" s="359"/>
      <c r="C19" s="371"/>
      <c r="D19" s="380"/>
      <c r="E19" s="280" t="s">
        <v>512</v>
      </c>
      <c r="F19" s="280" t="s">
        <v>425</v>
      </c>
      <c r="G19" s="24"/>
    </row>
    <row r="20" spans="1:7" ht="90.75" customHeight="1">
      <c r="A20" s="373"/>
      <c r="B20" s="359"/>
      <c r="C20" s="371"/>
      <c r="D20" s="380"/>
      <c r="E20" s="280"/>
      <c r="F20" s="280" t="s">
        <v>600</v>
      </c>
      <c r="G20" s="24"/>
    </row>
    <row r="21" spans="1:7" ht="74.25" customHeight="1">
      <c r="A21" s="373"/>
      <c r="B21" s="360"/>
      <c r="C21" s="372"/>
      <c r="D21" s="381"/>
      <c r="E21" s="276"/>
      <c r="F21" s="276" t="s">
        <v>599</v>
      </c>
      <c r="G21" s="24"/>
    </row>
    <row r="22" spans="1:7" ht="90" customHeight="1">
      <c r="A22" s="373"/>
      <c r="B22" s="364">
        <v>2.0299999999999998</v>
      </c>
      <c r="C22" s="364" t="s">
        <v>783</v>
      </c>
      <c r="D22" s="367" t="s">
        <v>2152</v>
      </c>
      <c r="E22" s="370" t="s">
        <v>422</v>
      </c>
      <c r="F22" s="279" t="s">
        <v>445</v>
      </c>
      <c r="G22" s="24"/>
    </row>
    <row r="23" spans="1:7" ht="109.5" customHeight="1">
      <c r="A23" s="373"/>
      <c r="B23" s="365"/>
      <c r="C23" s="365"/>
      <c r="D23" s="368"/>
      <c r="E23" s="371"/>
      <c r="F23" s="280" t="s">
        <v>784</v>
      </c>
      <c r="G23" s="24"/>
    </row>
    <row r="24" spans="1:7" ht="74.25" customHeight="1">
      <c r="A24" s="373"/>
      <c r="B24" s="366"/>
      <c r="C24" s="366"/>
      <c r="D24" s="369"/>
      <c r="E24" s="372"/>
      <c r="F24" s="276" t="s">
        <v>421</v>
      </c>
      <c r="G24" s="24"/>
    </row>
    <row r="25" spans="1:7" ht="72" customHeight="1">
      <c r="A25" s="373"/>
      <c r="B25" s="275" t="s">
        <v>443</v>
      </c>
      <c r="C25" s="276" t="s">
        <v>444</v>
      </c>
      <c r="D25" s="277" t="s">
        <v>2153</v>
      </c>
      <c r="E25" s="276" t="s">
        <v>2148</v>
      </c>
      <c r="F25" s="276" t="s">
        <v>446</v>
      </c>
      <c r="G25" s="24"/>
    </row>
    <row r="26" spans="1:7" ht="98.15" customHeight="1">
      <c r="A26" s="373"/>
      <c r="B26" s="361">
        <v>3</v>
      </c>
      <c r="C26" s="358" t="s">
        <v>66</v>
      </c>
      <c r="D26" s="379" t="s">
        <v>2154</v>
      </c>
      <c r="E26" s="370" t="s">
        <v>0</v>
      </c>
      <c r="F26" s="279" t="s">
        <v>60</v>
      </c>
      <c r="G26" s="24"/>
    </row>
    <row r="27" spans="1:7" ht="90" customHeight="1">
      <c r="A27" s="373"/>
      <c r="B27" s="362"/>
      <c r="C27" s="359"/>
      <c r="D27" s="380"/>
      <c r="E27" s="371"/>
      <c r="F27" s="280" t="s">
        <v>55</v>
      </c>
      <c r="G27" s="24"/>
    </row>
    <row r="28" spans="1:7" ht="19.399999999999999" customHeight="1">
      <c r="A28" s="373"/>
      <c r="B28" s="362"/>
      <c r="C28" s="359"/>
      <c r="D28" s="380"/>
      <c r="E28" s="371"/>
      <c r="F28" s="280" t="s">
        <v>56</v>
      </c>
      <c r="G28" s="24"/>
    </row>
    <row r="29" spans="1:7" ht="74.5" customHeight="1">
      <c r="A29" s="373"/>
      <c r="B29" s="362"/>
      <c r="C29" s="359"/>
      <c r="D29" s="380"/>
      <c r="E29" s="371"/>
      <c r="F29" s="280" t="s">
        <v>57</v>
      </c>
      <c r="G29" s="24"/>
    </row>
    <row r="30" spans="1:7" ht="62.5" customHeight="1">
      <c r="A30" s="373"/>
      <c r="B30" s="362"/>
      <c r="C30" s="359"/>
      <c r="D30" s="380"/>
      <c r="E30" s="371"/>
      <c r="F30" s="280" t="s">
        <v>58</v>
      </c>
      <c r="G30" s="24"/>
    </row>
    <row r="31" spans="1:7" ht="81" customHeight="1">
      <c r="A31" s="373"/>
      <c r="B31" s="362"/>
      <c r="C31" s="359"/>
      <c r="D31" s="380"/>
      <c r="E31" s="371"/>
      <c r="F31" s="280" t="s">
        <v>59</v>
      </c>
      <c r="G31" s="24"/>
    </row>
    <row r="32" spans="1:7" ht="48.75" customHeight="1">
      <c r="A32" s="373"/>
      <c r="B32" s="362"/>
      <c r="C32" s="359"/>
      <c r="D32" s="380"/>
      <c r="E32" s="371"/>
      <c r="F32" s="280" t="s">
        <v>62</v>
      </c>
      <c r="G32" s="24"/>
    </row>
    <row r="33" spans="1:7" ht="98.5" customHeight="1">
      <c r="A33" s="373"/>
      <c r="B33" s="362"/>
      <c r="C33" s="359"/>
      <c r="D33" s="380"/>
      <c r="E33" s="371"/>
      <c r="F33" s="280" t="s">
        <v>61</v>
      </c>
      <c r="G33" s="24"/>
    </row>
    <row r="34" spans="1:7" ht="89.15" customHeight="1">
      <c r="A34" s="373"/>
      <c r="B34" s="362"/>
      <c r="C34" s="359"/>
      <c r="D34" s="380"/>
      <c r="E34" s="371"/>
      <c r="F34" s="280" t="s">
        <v>63</v>
      </c>
      <c r="G34" s="24"/>
    </row>
    <row r="35" spans="1:7" ht="29.15" customHeight="1">
      <c r="A35" s="373"/>
      <c r="B35" s="362"/>
      <c r="C35" s="359"/>
      <c r="D35" s="380"/>
      <c r="E35" s="371"/>
      <c r="F35" s="280" t="s">
        <v>64</v>
      </c>
      <c r="G35" s="24"/>
    </row>
    <row r="36" spans="1:7" ht="138.5">
      <c r="A36" s="373"/>
      <c r="B36" s="363"/>
      <c r="C36" s="360"/>
      <c r="D36" s="381"/>
      <c r="E36" s="372"/>
      <c r="F36" s="282" t="s">
        <v>65</v>
      </c>
      <c r="G36" s="24"/>
    </row>
    <row r="37" spans="1:7" ht="138">
      <c r="A37" s="373"/>
      <c r="B37" s="281">
        <v>3.01</v>
      </c>
      <c r="C37" s="283" t="s">
        <v>66</v>
      </c>
      <c r="D37" s="277" t="s">
        <v>2155</v>
      </c>
      <c r="E37" s="284" t="s">
        <v>1282</v>
      </c>
      <c r="F37" s="285" t="s">
        <v>1384</v>
      </c>
      <c r="G37" s="24"/>
    </row>
    <row r="38" spans="1:7" ht="126.5">
      <c r="A38" s="373"/>
      <c r="B38" s="281">
        <v>3.02</v>
      </c>
      <c r="C38" s="283" t="s">
        <v>1314</v>
      </c>
      <c r="D38" s="277" t="s">
        <v>2156</v>
      </c>
      <c r="E38" s="284" t="s">
        <v>1329</v>
      </c>
      <c r="F38" s="285" t="s">
        <v>1385</v>
      </c>
      <c r="G38" s="24"/>
    </row>
    <row r="39" spans="1:7" ht="103.5">
      <c r="A39" s="373"/>
      <c r="B39" s="286">
        <v>4</v>
      </c>
      <c r="C39" s="287" t="s">
        <v>1480</v>
      </c>
      <c r="D39" s="277" t="s">
        <v>2157</v>
      </c>
      <c r="E39" s="276" t="s">
        <v>2104</v>
      </c>
      <c r="F39" s="276" t="s">
        <v>1481</v>
      </c>
      <c r="G39" s="24"/>
    </row>
    <row r="40" spans="1:7" ht="57.5">
      <c r="A40" s="373"/>
      <c r="B40" s="281">
        <v>4.01</v>
      </c>
      <c r="C40" s="287" t="s">
        <v>1480</v>
      </c>
      <c r="D40" s="277" t="s">
        <v>2159</v>
      </c>
      <c r="E40" s="276" t="s">
        <v>2116</v>
      </c>
      <c r="F40" s="276" t="s">
        <v>2120</v>
      </c>
      <c r="G40" s="24"/>
    </row>
    <row r="41" spans="1:7" ht="57.5">
      <c r="A41" s="373"/>
      <c r="B41" s="281" t="s">
        <v>2146</v>
      </c>
      <c r="C41" s="287" t="s">
        <v>1480</v>
      </c>
      <c r="D41" s="277" t="s">
        <v>2158</v>
      </c>
      <c r="E41" s="276" t="s">
        <v>2149</v>
      </c>
      <c r="F41" s="276" t="s">
        <v>2147</v>
      </c>
      <c r="G41" s="24"/>
    </row>
    <row r="42" spans="1:7" ht="57.5">
      <c r="A42" s="373"/>
      <c r="B42" s="281" t="s">
        <v>2173</v>
      </c>
      <c r="C42" s="287" t="s">
        <v>1480</v>
      </c>
      <c r="D42" s="277" t="s">
        <v>2178</v>
      </c>
      <c r="E42" s="276" t="s">
        <v>2148</v>
      </c>
      <c r="F42" s="276" t="s">
        <v>2174</v>
      </c>
      <c r="G42" s="24"/>
    </row>
    <row r="43" spans="1:7" ht="172.5">
      <c r="A43" s="373"/>
      <c r="B43" s="288">
        <v>4.0999999999999996</v>
      </c>
      <c r="C43" s="287" t="s">
        <v>2177</v>
      </c>
      <c r="D43" s="289">
        <v>42867</v>
      </c>
      <c r="E43" s="290" t="s">
        <v>2180</v>
      </c>
      <c r="F43" s="276" t="s">
        <v>2179</v>
      </c>
      <c r="G43" s="24"/>
    </row>
    <row r="44" spans="1:7" ht="103.5">
      <c r="A44" s="373"/>
      <c r="B44" s="288">
        <v>4.2</v>
      </c>
      <c r="C44" s="287" t="s">
        <v>2177</v>
      </c>
      <c r="D44" s="289">
        <v>42704</v>
      </c>
      <c r="E44" s="290" t="s">
        <v>2369</v>
      </c>
      <c r="F44" s="276" t="s">
        <v>2344</v>
      </c>
      <c r="G44" s="24"/>
    </row>
    <row r="45" spans="1:7" ht="207">
      <c r="A45" s="373"/>
      <c r="B45" s="291">
        <v>5</v>
      </c>
      <c r="C45" s="287" t="s">
        <v>2177</v>
      </c>
      <c r="D45" s="289">
        <v>42867</v>
      </c>
      <c r="E45" s="290" t="s">
        <v>12256</v>
      </c>
      <c r="F45" s="276" t="s">
        <v>11978</v>
      </c>
      <c r="G45" s="24"/>
    </row>
    <row r="46" spans="1:7" ht="57.5">
      <c r="A46" s="373"/>
      <c r="B46" s="288">
        <v>5.01</v>
      </c>
      <c r="C46" s="287" t="s">
        <v>2177</v>
      </c>
      <c r="D46" s="289">
        <v>42907</v>
      </c>
      <c r="E46" s="290" t="s">
        <v>14886</v>
      </c>
      <c r="F46" s="276" t="s">
        <v>11978</v>
      </c>
      <c r="G46" s="24"/>
    </row>
    <row r="47" spans="1:7" ht="92">
      <c r="A47" s="373"/>
      <c r="B47" s="288">
        <v>5.0999999999999996</v>
      </c>
      <c r="C47" s="287" t="s">
        <v>2177</v>
      </c>
      <c r="D47" s="289">
        <v>43070</v>
      </c>
      <c r="E47" s="290" t="s">
        <v>12456</v>
      </c>
      <c r="F47" s="276" t="s">
        <v>12457</v>
      </c>
      <c r="G47" s="24"/>
    </row>
    <row r="48" spans="1:7" ht="80.5">
      <c r="A48" s="373"/>
      <c r="B48" s="288">
        <v>5.1100000000000003</v>
      </c>
      <c r="C48" s="287" t="s">
        <v>12684</v>
      </c>
      <c r="D48" s="289">
        <v>43217</v>
      </c>
      <c r="E48" s="290" t="s">
        <v>12786</v>
      </c>
      <c r="F48" s="276" t="s">
        <v>12711</v>
      </c>
      <c r="G48" s="24"/>
    </row>
    <row r="49" spans="1:7" ht="80.5">
      <c r="A49" s="373"/>
      <c r="B49" s="288">
        <v>5.12</v>
      </c>
      <c r="C49" s="287" t="s">
        <v>12684</v>
      </c>
      <c r="D49" s="289">
        <v>43581</v>
      </c>
      <c r="E49" s="290" t="s">
        <v>12786</v>
      </c>
      <c r="F49" s="276" t="s">
        <v>13315</v>
      </c>
      <c r="G49" s="24"/>
    </row>
    <row r="50" spans="1:7" ht="115">
      <c r="A50" s="373"/>
      <c r="B50" s="291">
        <v>6</v>
      </c>
      <c r="C50" s="287" t="s">
        <v>12684</v>
      </c>
      <c r="D50" s="289">
        <v>43964</v>
      </c>
      <c r="E50" s="290" t="s">
        <v>13527</v>
      </c>
      <c r="F50" s="276" t="s">
        <v>13318</v>
      </c>
      <c r="G50" s="24"/>
    </row>
    <row r="51" spans="1:7" ht="57.5">
      <c r="A51" s="373"/>
      <c r="B51" s="288">
        <v>6.01</v>
      </c>
      <c r="C51" s="287" t="s">
        <v>12684</v>
      </c>
      <c r="D51" s="289">
        <v>43970</v>
      </c>
      <c r="E51" s="290" t="s">
        <v>14887</v>
      </c>
      <c r="F51" s="290" t="s">
        <v>13318</v>
      </c>
      <c r="G51" s="24"/>
    </row>
    <row r="52" spans="1:7" ht="57.5">
      <c r="A52" s="373"/>
      <c r="B52" s="288">
        <v>6.1</v>
      </c>
      <c r="C52" s="287" t="s">
        <v>12684</v>
      </c>
      <c r="D52" s="289">
        <v>44314</v>
      </c>
      <c r="E52" s="290" t="s">
        <v>14880</v>
      </c>
      <c r="F52" s="290" t="s">
        <v>14487</v>
      </c>
      <c r="G52" s="24"/>
    </row>
    <row r="53" spans="1:7" ht="57.5">
      <c r="A53" s="373"/>
      <c r="B53" s="288">
        <v>6.2</v>
      </c>
      <c r="C53" s="287" t="s">
        <v>12684</v>
      </c>
      <c r="D53" s="289">
        <v>44678</v>
      </c>
      <c r="E53" s="290" t="s">
        <v>14880</v>
      </c>
      <c r="F53" s="290" t="s">
        <v>14879</v>
      </c>
      <c r="G53" s="24"/>
    </row>
    <row r="54" spans="1:7" ht="57.5">
      <c r="A54" s="373"/>
      <c r="B54" s="288">
        <v>6.21</v>
      </c>
      <c r="C54" s="287" t="s">
        <v>12684</v>
      </c>
      <c r="D54" s="289">
        <v>44687</v>
      </c>
      <c r="E54" s="290" t="s">
        <v>14888</v>
      </c>
      <c r="F54" s="290" t="s">
        <v>14879</v>
      </c>
      <c r="G54" s="24"/>
    </row>
    <row r="55" spans="1:7" ht="57.5">
      <c r="A55" s="373"/>
      <c r="B55" s="288">
        <v>6.22</v>
      </c>
      <c r="C55" s="287" t="s">
        <v>12684</v>
      </c>
      <c r="D55" s="292">
        <v>44692</v>
      </c>
      <c r="E55" s="290" t="s">
        <v>14887</v>
      </c>
      <c r="F55" s="290" t="s">
        <v>14879</v>
      </c>
      <c r="G55" s="24"/>
    </row>
    <row r="56" spans="1:7" ht="80.5">
      <c r="A56" s="373"/>
      <c r="B56" s="291">
        <v>6.3</v>
      </c>
      <c r="C56" s="287" t="s">
        <v>12684</v>
      </c>
      <c r="D56" s="292">
        <v>45051</v>
      </c>
      <c r="E56" s="290" t="s">
        <v>15144</v>
      </c>
      <c r="F56" s="290" t="s">
        <v>14925</v>
      </c>
      <c r="G56" s="24"/>
    </row>
    <row r="57" spans="1:7" ht="57.5">
      <c r="A57" s="373"/>
      <c r="B57" s="288">
        <v>6.31</v>
      </c>
      <c r="C57" s="287" t="s">
        <v>12684</v>
      </c>
      <c r="D57" s="292">
        <v>45072</v>
      </c>
      <c r="E57" s="290" t="s">
        <v>15146</v>
      </c>
      <c r="F57" s="290" t="s">
        <v>14925</v>
      </c>
      <c r="G57" s="24"/>
    </row>
    <row r="58" spans="1:7" ht="57.5">
      <c r="A58" s="373"/>
      <c r="B58" s="291">
        <v>6.4</v>
      </c>
      <c r="C58" s="287" t="s">
        <v>12684</v>
      </c>
      <c r="D58" s="292">
        <v>45408</v>
      </c>
      <c r="E58" s="290" t="s">
        <v>15148</v>
      </c>
      <c r="F58" s="290" t="s">
        <v>15147</v>
      </c>
      <c r="G58" s="24"/>
    </row>
    <row r="59" spans="1:7" ht="57.5">
      <c r="A59" s="373"/>
      <c r="B59" s="291">
        <v>6.5</v>
      </c>
      <c r="C59" s="287" t="s">
        <v>12684</v>
      </c>
      <c r="D59" s="292">
        <v>45772</v>
      </c>
      <c r="E59" s="290" t="s">
        <v>15217</v>
      </c>
      <c r="F59" s="290" t="s">
        <v>15259</v>
      </c>
      <c r="G59" s="24"/>
    </row>
    <row r="60" spans="1:7" ht="80.5">
      <c r="A60" s="373"/>
      <c r="B60" s="291">
        <v>6.6</v>
      </c>
      <c r="C60" s="287" t="s">
        <v>12684</v>
      </c>
      <c r="D60" s="292">
        <v>46129</v>
      </c>
      <c r="E60" s="290" t="s">
        <v>15870</v>
      </c>
      <c r="F60" s="293" t="s">
        <v>15352</v>
      </c>
      <c r="G60" s="24"/>
    </row>
    <row r="61" spans="1:7" ht="14" thickBot="1">
      <c r="A61" s="374"/>
      <c r="B61" s="375" t="str">
        <f ca="1">OFFSET(L!$C$1,MATCH("General"&amp;"Cpy",L!$A:$A,0)-1,SL,,)</f>
        <v>© 2026 Responsible Minerals Initiative. All rights reserved.</v>
      </c>
      <c r="C61" s="375"/>
      <c r="D61" s="375"/>
      <c r="E61" s="375"/>
      <c r="F61" s="375"/>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4375" defaultRowHeight="13.5"/>
  <cols>
    <col min="1" max="1" width="20.61328125" style="62" customWidth="1"/>
    <col min="2" max="2" width="57.15234375" style="62" customWidth="1"/>
    <col min="3" max="16384" width="8.843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FAEF4C0-85F9-4055-8A00-D77CD67C875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EB0AC56-03CE-423F-9F90-FC85C25403C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4"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5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5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4"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4"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70">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60">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4" thickBot="1">
      <c r="A33" s="72"/>
      <c r="B33" s="146"/>
      <c r="C33" s="146"/>
      <c r="D33" s="387"/>
    </row>
    <row r="34" spans="1:4" ht="14"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sqref="A1:K1"/>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4"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7"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47" t="str">
        <f ca="1">OFFSET(L!$C$1,MATCH("Declaration"&amp;ADDRESS(ROW(),COLUMN(),4)&amp;LEFT($D$9,1),L!$A:$A,0)-1,SL,,)</f>
        <v>Description of Scope:</v>
      </c>
      <c r="C10" s="119"/>
      <c r="D10" s="338"/>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Company Unique ID:</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Address:</v>
      </c>
      <c r="C14" s="74"/>
      <c r="D14" s="321"/>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Contact Name (*):</v>
      </c>
      <c r="C15" s="74"/>
      <c r="D15" s="321" t="s">
        <v>15880</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Email – Contact (*):</v>
      </c>
      <c r="C16" s="74"/>
      <c r="D16" s="349" t="s">
        <v>15881</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Phone – Contact (*):</v>
      </c>
      <c r="C17" s="74"/>
      <c r="D17" s="321" t="s">
        <v>15882</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Authorizer (*):</v>
      </c>
      <c r="C18" s="74"/>
      <c r="D18" s="294" t="s">
        <v>15883</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Title - Authorizer:</v>
      </c>
      <c r="C19" s="74"/>
      <c r="D19" s="321"/>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3">
      <c r="A20" s="35"/>
      <c r="B20" s="37" t="str">
        <f ca="1">OFFSET(L!$C$1,MATCH("Declaration"&amp;ADDRESS(ROW(),COLUMN(),4),L!$A:$A,0)-1,SL,,)</f>
        <v>Email - Authorizer (*):</v>
      </c>
      <c r="C20" s="74"/>
      <c r="D20" s="349" t="s">
        <v>15884</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Phone - Authorizer:</v>
      </c>
      <c r="C21" s="130"/>
      <c r="D21" s="352"/>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7.5">
      <c r="A22" s="35"/>
      <c r="B22" s="37" t="str">
        <f ca="1">OFFSET(L!$C$1,MATCH("Declaration"&amp;ADDRESS(ROW(),COLUMN(),4),L!$A:$A,0)-1,SL,,)</f>
        <v>Effective Date (*):</v>
      </c>
      <c r="C22" s="75"/>
      <c r="D22" s="355">
        <v>46136</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5">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5"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 xml:space="preserve">Tantalum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 xml:space="preserve">Gold  </v>
      </c>
      <c r="C28" s="32"/>
      <c r="D28" s="297" t="s">
        <v>474</v>
      </c>
      <c r="E28" s="298"/>
      <c r="F28" s="11"/>
      <c r="G28" s="299"/>
      <c r="H28" s="300"/>
      <c r="I28" s="300"/>
      <c r="J28" s="301"/>
      <c r="K28" s="33"/>
      <c r="L28" s="113"/>
      <c r="P28" s="42" t="str">
        <f>IF(D$28="No","","(*)")</f>
        <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 xml:space="preserve">Tungsten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7.5">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5"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3">
      <c r="A32" s="38"/>
      <c r="B32" s="37" t="str">
        <f ca="1">B26</f>
        <v xml:space="preserve">Tantalum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 xml:space="preserve">Gold  </v>
      </c>
      <c r="C34" s="9"/>
      <c r="D34" s="297"/>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 xml:space="preserve">Tungsten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7.5">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5"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 xml:space="preserve">Tantalum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Tin  (*)</v>
      </c>
      <c r="C39" s="9"/>
      <c r="D39" s="297" t="s">
        <v>474</v>
      </c>
      <c r="E39" s="298"/>
      <c r="F39" s="44"/>
      <c r="G39" s="299"/>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 xml:space="preserve">Gold  </v>
      </c>
      <c r="C40" s="9"/>
      <c r="D40" s="297"/>
      <c r="E40" s="298"/>
      <c r="F40" s="44"/>
      <c r="G40" s="299"/>
      <c r="H40" s="300"/>
      <c r="I40" s="300"/>
      <c r="J40" s="301"/>
      <c r="K40" s="33"/>
      <c r="L40" s="113"/>
      <c r="P40" s="42" t="str">
        <f>IF((OR(D$28="No",D$34="No")),"","(*)")</f>
        <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 xml:space="preserve">Tungsten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7.5">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5"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 xml:space="preserve">Tantalum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Tin  (*)</v>
      </c>
      <c r="C45" s="9"/>
      <c r="D45" s="297" t="s">
        <v>474</v>
      </c>
      <c r="E45" s="298"/>
      <c r="F45" s="44"/>
      <c r="G45" s="299"/>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 xml:space="preserve">Gold  </v>
      </c>
      <c r="C46" s="9"/>
      <c r="D46" s="297"/>
      <c r="E46" s="298"/>
      <c r="F46" s="44"/>
      <c r="G46" s="299"/>
      <c r="H46" s="300"/>
      <c r="I46" s="300"/>
      <c r="J46" s="301"/>
      <c r="K46" s="33"/>
      <c r="L46" s="108"/>
      <c r="P46" s="42" t="str">
        <f>IF((OR(D$28="No",D$34="No")),"","(*)")</f>
        <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 xml:space="preserve">Tungsten  </v>
      </c>
      <c r="C47" s="9"/>
      <c r="D47" s="297"/>
      <c r="E47" s="298"/>
      <c r="F47" s="44"/>
      <c r="G47" s="299"/>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5"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
      <c r="A50" s="38"/>
      <c r="B50" s="37" t="str">
        <f ca="1">B38</f>
        <v xml:space="preserve">Tantalum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Tin  (*)</v>
      </c>
      <c r="C51" s="9"/>
      <c r="D51" s="297" t="s">
        <v>473</v>
      </c>
      <c r="E51" s="298"/>
      <c r="F51" s="44"/>
      <c r="G51" s="299" t="s">
        <v>15885</v>
      </c>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 xml:space="preserve">Gold  </v>
      </c>
      <c r="C52" s="9"/>
      <c r="D52" s="297"/>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 xml:space="preserve">Tungsten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7.5">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5"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
      <c r="A56" s="38"/>
      <c r="B56" s="37" t="str">
        <f ca="1">B38</f>
        <v xml:space="preserve">Tantalum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Tin  (*)</v>
      </c>
      <c r="C57" s="32"/>
      <c r="D57" s="318" t="s">
        <v>15886</v>
      </c>
      <c r="E57" s="319"/>
      <c r="F57" s="44"/>
      <c r="G57" s="299" t="s">
        <v>15887</v>
      </c>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 xml:space="preserve">Gold  </v>
      </c>
      <c r="C58" s="32"/>
      <c r="D58" s="318"/>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 xml:space="preserve">Tungsten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5"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3">
      <c r="A62" s="38"/>
      <c r="B62" s="37" t="str">
        <f ca="1">B38</f>
        <v xml:space="preserve">Tantalum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 xml:space="preserve">Gold  </v>
      </c>
      <c r="C64" s="9"/>
      <c r="D64" s="297"/>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 xml:space="preserve">Tungsten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5"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3">
      <c r="A68" s="38"/>
      <c r="B68" s="37" t="str">
        <f ca="1">B38</f>
        <v xml:space="preserve">Tantalum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 xml:space="preserve">Gold  </v>
      </c>
      <c r="C70" s="32"/>
      <c r="D70" s="297"/>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 xml:space="preserve">Tungsten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4"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25" t="s">
        <v>15888</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Does your review process include corrective action management?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 hidden="1">
      <c r="B98" s="53" t="s">
        <v>475</v>
      </c>
      <c r="D98" s="264" t="str">
        <f>IF(AND(OR($D$26="Yes",$D$26=""),OR($D$32="Yes",$D$32="")),"Unknown","")</f>
        <v/>
      </c>
      <c r="E98" s="264" t="str">
        <f>IF(AND(OR($D$26="Yes",$D$26=""),OR($D$32="Yes",$D$32="")),"Greater than 75%","")</f>
        <v/>
      </c>
      <c r="G98" s="264" t="str">
        <f>IF(OR($D$27="Yes",$D$27=""),"Yes","")</f>
        <v>Yes</v>
      </c>
    </row>
    <row r="99" spans="2:7" ht="15" hidden="1">
      <c r="B99" s="172">
        <v>1</v>
      </c>
      <c r="D99" s="264" t="str">
        <f>IF(AND(OR($D$27="Yes",$D$27=""),OR($D$33="Yes",$D$33="")),"Yes","")</f>
        <v>Yes</v>
      </c>
      <c r="E99" s="264" t="str">
        <f>IF(AND(OR($D$26="Yes",$D$26=""),OR($D$32="Yes",$D$32="")),"Greater than 50%","")</f>
        <v/>
      </c>
      <c r="G99" s="264" t="str">
        <f>IF(OR($D$27="Yes",$D$27=""),"No","")</f>
        <v>No</v>
      </c>
    </row>
    <row r="100" spans="2:7" ht="15" hidden="1">
      <c r="B100" s="219" t="s">
        <v>2370</v>
      </c>
      <c r="D100" s="264" t="str">
        <f>IF(AND(OR($D$27="Yes",$D$27=""),OR($D$33="Yes",$D$33="")),"No","")</f>
        <v>No</v>
      </c>
      <c r="E100" s="264" t="str">
        <f>IF(AND(OR($D$26="Yes",$D$26=""),OR($D$32="Yes",$D$32="")),"50% or less","")</f>
        <v/>
      </c>
      <c r="G100" s="264" t="str">
        <f>IF(OR($D$28="Yes",$D$28=""),"Yes","")</f>
        <v/>
      </c>
    </row>
    <row r="101" spans="2:7" ht="15" hidden="1">
      <c r="B101" s="219" t="s">
        <v>2371</v>
      </c>
      <c r="D101" s="264" t="str">
        <f>IF(AND(OR($D$27="Yes",$D$27=""),OR($D$33="Yes",$D$33="")),"Unknown","")</f>
        <v>Unknown</v>
      </c>
      <c r="E101" s="264" t="str">
        <f>IF(AND(OR($D$26="Yes",$D$26=""),OR($D$32="Yes",$D$32="")),"None","")</f>
        <v/>
      </c>
      <c r="G101" s="264" t="str">
        <f>IF(OR($D$28="Yes",$D$28=""),"No","")</f>
        <v/>
      </c>
    </row>
    <row r="102" spans="2:7" ht="15" hidden="1">
      <c r="B102" s="219" t="s">
        <v>2372</v>
      </c>
      <c r="D102" s="264" t="str">
        <f>IF(AND(OR($D$28="Yes",$D$28=""),OR($D$34="Yes",$D$34="")),"Yes","")</f>
        <v/>
      </c>
      <c r="E102" s="264" t="str">
        <f>IF(AND(OR($D$27="Yes",$D$27=""),OR($D$33="Yes",$D$33="")),"100%","")</f>
        <v>100%</v>
      </c>
      <c r="G102" s="264" t="str">
        <f>IF(OR($D$29="Yes",$D$29=""),"Yes","")</f>
        <v/>
      </c>
    </row>
    <row r="103" spans="2:7" ht="15" hidden="1">
      <c r="B103" s="219" t="s">
        <v>2373</v>
      </c>
      <c r="D103" s="264" t="str">
        <f>IF(AND(OR($D$28="Yes",$D$28=""),OR($D$34="Yes",$D$34="")),"No","")</f>
        <v/>
      </c>
      <c r="E103" s="264" t="str">
        <f>IF(AND(OR($D$27="Yes",$D$27=""),OR($D$33="Yes",$D$33="")),"Greater than 90%","")</f>
        <v>Greater than 90%</v>
      </c>
      <c r="G103" s="264" t="str">
        <f>IF(OR($D$29="Yes",$D$29=""),"No","")</f>
        <v/>
      </c>
    </row>
    <row r="104" spans="2:7" ht="15" hidden="1">
      <c r="B104" s="219" t="s">
        <v>476</v>
      </c>
      <c r="D104" s="264" t="str">
        <f>IF(AND(OR($D$28="Yes",$D$28=""),OR($D$34="Yes",$D$34="")),"Unknown","")</f>
        <v/>
      </c>
      <c r="E104" s="264" t="str">
        <f>IF(AND(OR($D$27="Yes",$D$27=""),OR($D$33="Yes",$D$33="")),"Greater than 75%","")</f>
        <v>Greater than 75%</v>
      </c>
    </row>
    <row r="105" spans="2:7" ht="15" hidden="1">
      <c r="B105" s="219" t="s">
        <v>14427</v>
      </c>
      <c r="D105" s="264" t="str">
        <f>IF(AND(OR($D$29="Yes",$D$29=""),OR($D$35="Yes",$D$35="")),"Yes","")</f>
        <v/>
      </c>
      <c r="E105" s="264" t="str">
        <f>IF(AND(OR($D$27="Yes",$D$27=""),OR($D$33="Yes",$D$33="")),"Greater than 50%","")</f>
        <v>Greater than 50%</v>
      </c>
    </row>
    <row r="106" spans="2:7" ht="15" hidden="1">
      <c r="B106" s="219" t="s">
        <v>11949</v>
      </c>
      <c r="D106" s="264" t="str">
        <f>IF(AND(OR($D$29="Yes",$D$29=""),OR($D$35="Yes",$D$35="")),"No","")</f>
        <v/>
      </c>
      <c r="E106" s="264" t="str">
        <f>IF(AND(OR($D$27="Yes",$D$27=""),OR($D$33="Yes",$D$33="")),"50% or less","")</f>
        <v>50% or less</v>
      </c>
    </row>
    <row r="107" spans="2:7" ht="15" hidden="1">
      <c r="B107" s="219" t="s">
        <v>474</v>
      </c>
      <c r="D107" s="264" t="str">
        <f>IF(AND(OR($D$29="Yes",$D$29=""),OR($D$35="Yes",$D$35="")),"Unknown","")</f>
        <v/>
      </c>
      <c r="E107" s="264" t="str">
        <f>IF(AND(OR($D$27="Yes",$D$27=""),OR($D$33="Yes",$D$33="")),"None","")</f>
        <v>None</v>
      </c>
    </row>
    <row r="108" spans="2:7" ht="15" hidden="1">
      <c r="B108" s="219" t="s">
        <v>13454</v>
      </c>
      <c r="E108" s="264" t="str">
        <f>IF(AND(OR($D$28="Yes",$D$28=""),OR($D$34="Yes",$D$34="")),"100%","")</f>
        <v/>
      </c>
    </row>
    <row r="109" spans="2:7" ht="15" hidden="1">
      <c r="B109" s="219" t="s">
        <v>13456</v>
      </c>
      <c r="E109" s="264" t="str">
        <f>IF(AND(OR($D$28="Yes",$D$28=""),OR($D$34="Yes",$D$34="")),"Greater than 90%","")</f>
        <v/>
      </c>
    </row>
    <row r="110" spans="2:7" ht="15" hidden="1">
      <c r="B110" s="219" t="s">
        <v>13457</v>
      </c>
      <c r="E110" s="264" t="str">
        <f>IF(AND(OR($D$28="Yes",$D$28=""),OR($D$34="Yes",$D$34="")),"Greater than 75%","")</f>
        <v/>
      </c>
    </row>
    <row r="111" spans="2:7" ht="1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375BD89-04FD-48FF-A950-B82334AEB05D}"/>
    <hyperlink ref="D20" r:id="rId4" xr:uid="{5B4CF097-F0F0-4592-8B3D-326E30BCBB44}"/>
    <hyperlink ref="G77" r:id="rId5" xr:uid="{C1D789E1-3376-4023-B177-D3885FE7916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70" zoomScaleNormal="70" zoomScalePageLayoutView="55" workbookViewId="0">
      <selection activeCell="P5" sqref="P5"/>
    </sheetView>
  </sheetViews>
  <sheetFormatPr defaultColWidth="8.84375" defaultRowHeight="13.5"/>
  <cols>
    <col min="1" max="1" width="13.61328125" style="210" customWidth="1"/>
    <col min="2" max="2" width="13.3828125" style="212" customWidth="1"/>
    <col min="3" max="3" width="40.61328125" style="212" customWidth="1"/>
    <col min="4" max="4" width="30.61328125" style="212" customWidth="1"/>
    <col min="5" max="5" width="20.84375" style="212" customWidth="1"/>
    <col min="6" max="7" width="13.84375" style="212" customWidth="1"/>
    <col min="8" max="8" width="25.15234375" style="212" customWidth="1"/>
    <col min="9" max="9" width="24.15234375" style="212" customWidth="1"/>
    <col min="10" max="10" width="18.3828125" style="212" customWidth="1"/>
    <col min="11" max="11" width="27.3828125" style="212" customWidth="1"/>
    <col min="12" max="12" width="20.61328125" style="212" customWidth="1"/>
    <col min="13" max="13" width="35.15234375" style="212" customWidth="1"/>
    <col min="14" max="14" width="42.15234375" style="212" customWidth="1"/>
    <col min="15" max="15" width="32.15234375" style="212" customWidth="1"/>
    <col min="16" max="16" width="22.84375" style="212" customWidth="1"/>
    <col min="17" max="17" width="43.61328125" style="212" customWidth="1"/>
    <col min="18" max="18" width="35.84375" style="212" hidden="1" customWidth="1"/>
    <col min="19" max="20" width="17.84375" style="212" hidden="1" customWidth="1"/>
    <col min="21" max="21" width="8.84375" style="212" hidden="1" customWidth="1"/>
    <col min="22" max="22" width="6.15234375" style="212" hidden="1" customWidth="1"/>
    <col min="23" max="23" width="8.61328125" style="212" hidden="1" customWidth="1"/>
    <col min="24" max="24" width="8.84375" style="212" hidden="1" customWidth="1"/>
    <col min="25" max="27" width="4.3828125" style="212" hidden="1" customWidth="1"/>
    <col min="28" max="28" width="7.84375" style="212" hidden="1" customWidth="1"/>
    <col min="29" max="33" width="4.3828125" style="212" hidden="1" customWidth="1"/>
    <col min="34" max="34" width="14.61328125" style="212" hidden="1" customWidth="1"/>
    <col min="35" max="39" width="8.84375" style="212" customWidth="1"/>
    <col min="40" max="16384" width="8.8437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49999999999999" customHeight="1">
      <c r="A5" s="245" t="s">
        <v>1699</v>
      </c>
      <c r="B5" s="166" t="str">
        <f ca="1">IF(LEN(A5)=0,"",INDEX('Smelter Look-up'!$A:$A,MATCH($A5,'Smelter Look-up'!$E:$E,0)))</f>
        <v>Tin</v>
      </c>
      <c r="C5" s="170" t="str">
        <f ca="1">IF(LEN(A5)=0,"",INDEX('Smelter Look-up'!$C:$C,MATCH($A5,'Smelter Look-up'!$E:$E,0)))</f>
        <v>Metallic Resources, Inc.</v>
      </c>
      <c r="D5" s="213"/>
      <c r="E5" s="166" t="str">
        <f ca="1">IF(ISERROR($V5),"",OFFSET('Smelter Look-up'!$D$4,$V5-4,0)&amp;"")</f>
        <v>UNITED STATES OF AMERICA</v>
      </c>
      <c r="F5" s="166" t="str">
        <f ca="1">IF(ISERROR($V5),"",OFFSET('Smelter Look-up'!$E$4,$V5-4,0))</f>
        <v>CID001142</v>
      </c>
      <c r="G5" s="166" t="str">
        <f ca="1">IF(C5=$X$4,IF(ISERROR($V5),"Enter smelter details","RMI"),IF(ISERROR($V5),"",OFFSET('Smelter Look-up'!$F$4,$V5-4,0)))</f>
        <v>RMI</v>
      </c>
      <c r="H5" s="167">
        <f ca="1">IF(ISERROR($V5),"",OFFSET('Smelter Look-up'!$G$4,$V5-4,0))</f>
        <v>0</v>
      </c>
      <c r="I5" s="168" t="str">
        <f ca="1">IF(ISERROR($V5),"",OFFSET('Smelter Look-up'!$H$4,$V5-4,0))</f>
        <v>Twinsburg</v>
      </c>
      <c r="J5" s="168" t="str">
        <f ca="1">IF(ISERROR($V5),"",OFFSET('Smelter Look-up'!$I$4,$V5-4,0))</f>
        <v>Ohio</v>
      </c>
      <c r="K5" s="207"/>
      <c r="L5" s="207"/>
      <c r="M5" s="207"/>
      <c r="N5" s="207" t="s">
        <v>15889</v>
      </c>
      <c r="O5" s="207" t="s">
        <v>15889</v>
      </c>
      <c r="P5" s="169" t="s">
        <v>473</v>
      </c>
      <c r="Q5" s="208"/>
      <c r="R5" s="166" t="str">
        <f ca="1">IF(ISERROR($V5),"",OFFSET('Smelter Look-up'!$C$4,$V5-4,0)&amp;"")</f>
        <v>Metallic Resources, Inc.</v>
      </c>
      <c r="S5" s="165" t="str">
        <f ca="1">IF(B5="","",IF(ISERROR(MATCH($E5,CL,0)),"Unknown",INDIRECT("'C'!$A$"&amp;MATCH($E5,CL,0)+1)))</f>
        <v>US</v>
      </c>
      <c r="T5" s="165" t="str">
        <f ca="1">IF(B5="","",IF(ISERROR(MATCH($J5,SorP!$B$1:$B$6261,0)),"",INDIRECT("'SorP'!$A$"&amp;MATCH($S5&amp;$J5,SorP!C:C,0))))</f>
        <v>US-OH</v>
      </c>
      <c r="U5" s="185"/>
      <c r="V5" s="209">
        <f ca="1">IF(C5="",NA(),IF(OR(C5="Smelter not listed",C5="Smelter not yet identified"),MATCH($B5&amp;$D5,'Smelter Look-up'!$J:$J,0),MATCH($B5&amp;$C5,'Smelter Look-up'!$J:$J,0)))</f>
        <v>495</v>
      </c>
      <c r="X5" s="210">
        <f t="shared" ref="X5" ca="1" si="0">IF(AND(C5="Smelter not listed",OR(LEN(D5)=0,LEN(E5)=0)),1,0)</f>
        <v>0</v>
      </c>
      <c r="AB5" s="211" t="str">
        <f t="shared" ref="AB5" ca="1" si="1">B5&amp;C5</f>
        <v>TinMetallic Resources, Inc.</v>
      </c>
    </row>
    <row r="6" spans="1:34" s="210" customFormat="1" ht="20.149999999999999"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49999999999999"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49999999999999"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49999999999999"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49999999999999"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49999999999999"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49999999999999"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49999999999999"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49999999999999"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49999999999999"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49999999999999"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49999999999999"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49999999999999"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4"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01C61DD-00CD-44B3-860E-2BD55750C6FB}"/>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defaultColWidth="8.84375" defaultRowHeight="13.5"/>
  <cols>
    <col min="1" max="1" width="45.15234375" style="18" customWidth="1"/>
    <col min="2" max="2" width="42.84375" style="19" customWidth="1"/>
    <col min="3" max="3" width="51.61328125" style="18" customWidth="1"/>
    <col min="4" max="4" width="29.15234375" style="19" customWidth="1"/>
    <col min="5" max="5" width="9" style="18" customWidth="1"/>
    <col min="6" max="6" width="13.61328125" style="18" hidden="1" customWidth="1"/>
    <col min="7" max="7" width="13.3828125" style="18" hidden="1" customWidth="1"/>
    <col min="8" max="9" width="9" style="18" hidden="1" customWidth="1"/>
    <col min="10" max="10" width="48.84375" style="18" hidden="1" customWidth="1"/>
    <col min="11" max="11" width="9" style="18" hidden="1" customWidth="1"/>
    <col min="12" max="15" width="8.84375" style="18" hidden="1" customWidth="1"/>
    <col min="16" max="18" width="8.84375" style="18" customWidth="1"/>
    <col min="19" max="16384" width="8.843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41">
      <c r="A4" s="87" t="str">
        <f ca="1">Declaration!B8</f>
        <v>Company Name (*):</v>
      </c>
      <c r="B4" s="86" t="str">
        <f>Declaration!D8</f>
        <v>Metallic Resources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41">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41">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41">
      <c r="A7" s="87" t="str">
        <f ca="1">Declaration!B15</f>
        <v>Contact Name (*):</v>
      </c>
      <c r="B7" s="86" t="str">
        <f>Declaration!D15</f>
        <v>Lynne Fetsko</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41">
      <c r="A8" s="87" t="str">
        <f ca="1">Declaration!B16</f>
        <v>Email – Contact (*):</v>
      </c>
      <c r="B8" s="86" t="str">
        <f>Declaration!D16</f>
        <v>lfetsko@metallicresources.com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41">
      <c r="A9" s="87" t="str">
        <f ca="1">Declaration!B17</f>
        <v>Phone – Contact (*):</v>
      </c>
      <c r="B9" s="256" t="str">
        <f>Declaration!D17</f>
        <v>330-425-3155</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41">
      <c r="A10" s="87" t="str">
        <f ca="1">Declaration!B18</f>
        <v>Authorizer (*):</v>
      </c>
      <c r="B10" s="86" t="str">
        <f>Declaration!D18</f>
        <v>Stanley Rothschild Jr.</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41">
      <c r="A11" s="87" t="str">
        <f ca="1">Declaration!B20</f>
        <v>Email - Authorizer (*):</v>
      </c>
      <c r="B11" s="86" t="str">
        <f>Declaration!D20</f>
        <v>srothschildjr@metallicresources.com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41">
      <c r="A12" s="87" t="str">
        <f ca="1">Declaration!B22</f>
        <v>Effective Date (*):</v>
      </c>
      <c r="B12" s="88">
        <f>Declaration!D22</f>
        <v>46136</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7.5">
      <c r="A13" s="86" t="str">
        <f ca="1">Declaration!B25</f>
        <v>1) Is any 3TG intentionally added or used in the product(s) or in the production process? (*)</v>
      </c>
      <c r="B13" s="89"/>
      <c r="C13" s="89"/>
      <c r="D13" s="93"/>
      <c r="E13" s="19" t="s">
        <v>773</v>
      </c>
      <c r="F13" s="90"/>
      <c r="H13" s="18">
        <f t="shared" si="3"/>
        <v>0</v>
      </c>
    </row>
    <row r="14" spans="1:10" ht="27.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41">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41">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41">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4">
      <c r="A18" s="86" t="str">
        <f ca="1">Declaration!B31</f>
        <v>2) Does any 3TG remain in the product(s)? (*)</v>
      </c>
      <c r="B18" s="89"/>
      <c r="C18" s="89"/>
      <c r="D18" s="93"/>
      <c r="E18" s="19" t="s">
        <v>771</v>
      </c>
      <c r="F18" s="90"/>
      <c r="J18" s="143"/>
    </row>
    <row r="19" spans="1:10" ht="41">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41">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41">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41">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41">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41">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41">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41">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6" t="str">
        <f ca="1">Declaration!B43</f>
        <v>4) Do any of the smelters in your supply chain source the 3TG from conflict-affected and high-risk areas? (*)</v>
      </c>
      <c r="B28" s="86"/>
      <c r="C28" s="86"/>
      <c r="D28" s="94"/>
      <c r="E28" s="19"/>
      <c r="F28" s="19"/>
      <c r="G28" s="19"/>
      <c r="I28" s="142"/>
    </row>
    <row r="29" spans="1:10" ht="41.15"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40.5">
      <c r="A33" s="86" t="str">
        <f ca="1">Declaration!B49</f>
        <v>5) Does 100 percent of the 3TG (necessary to the functionality or production of your products) originate from recycled or scrap sources?  (*)</v>
      </c>
      <c r="B33" s="89"/>
      <c r="C33" s="89"/>
      <c r="D33" s="93"/>
      <c r="E33" s="19" t="s">
        <v>1261</v>
      </c>
      <c r="F33" s="90"/>
      <c r="J33" s="143"/>
    </row>
    <row r="34" spans="1:10" ht="4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41">
      <c r="A35" s="87" t="str">
        <f ca="1">Declaration!B51</f>
        <v>Tin  (*)</v>
      </c>
      <c r="B35" s="86" t="str">
        <f>IF(AND($B$15="Yes",$B$20="Yes"),Declaration!D51,0)</f>
        <v>Yes</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41">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4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40.5">
      <c r="A38" s="86" t="str">
        <f ca="1">Declaration!B55</f>
        <v>6) What percentage of relevant suppliers have provided a response to your supply chain survey?  (*)</v>
      </c>
      <c r="B38" s="89"/>
      <c r="C38" s="89"/>
      <c r="D38" s="93"/>
      <c r="E38" s="19" t="s">
        <v>770</v>
      </c>
      <c r="F38" s="90"/>
    </row>
    <row r="39" spans="1:10" ht="27.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7.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7.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7.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4">
      <c r="A43" s="86" t="str">
        <f ca="1">Declaration!B61</f>
        <v>7) Have you identified all of the smelters supplying the 3TG to your supply chain?  (*)</v>
      </c>
      <c r="B43" s="89"/>
      <c r="C43" s="89"/>
      <c r="D43" s="93"/>
      <c r="E43" s="19" t="s">
        <v>771</v>
      </c>
      <c r="F43" s="90"/>
    </row>
    <row r="44" spans="1:10" ht="54.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4.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4.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4.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7.5">
      <c r="A48" s="86" t="str">
        <f ca="1">Declaration!B67</f>
        <v>8) Has all applicable smelter information received by your company been reported in this declaration?  (*)</v>
      </c>
      <c r="B48" s="89"/>
      <c r="C48" s="89"/>
      <c r="D48" s="93"/>
      <c r="E48" s="19" t="s">
        <v>772</v>
      </c>
      <c r="F48" s="90"/>
    </row>
    <row r="49" spans="1:10" ht="41">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41">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41">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41">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7">
      <c r="A53" s="86" t="str">
        <f ca="1">Declaration!B74</f>
        <v>Question</v>
      </c>
      <c r="B53" s="89"/>
      <c r="C53" s="89"/>
      <c r="D53" s="93"/>
      <c r="E53" s="19" t="s">
        <v>426</v>
      </c>
      <c r="F53" s="90"/>
      <c r="G53" s="90"/>
      <c r="H53" s="90"/>
    </row>
    <row r="54" spans="1:10" ht="41">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t="str">
        <f>Declaration!G77</f>
        <v>https://metallicresources.com/wp-content/uploads/2025/03/Responsible-Sourcing-Policy.pdf</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41">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41">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5" hidden="1">
      <c r="A61" s="86"/>
      <c r="B61" s="86"/>
      <c r="C61" s="86"/>
      <c r="D61" s="92"/>
      <c r="E61" s="19"/>
      <c r="F61" s="91"/>
      <c r="G61" s="67"/>
      <c r="H61" s="68"/>
      <c r="I61" s="142"/>
    </row>
    <row r="62" spans="1:10" ht="41">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41">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41">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41">
      <c r="A65" s="86" t="s">
        <v>14563</v>
      </c>
      <c r="B65" s="86"/>
      <c r="C65" s="86" t="str">
        <f t="shared" ca="1" si="13"/>
        <v>Complete</v>
      </c>
      <c r="D65" s="92" t="str">
        <f ca="1">IF(H65=0,"","Click here to provide smelter information")</f>
        <v/>
      </c>
      <c r="E65" s="19" t="s">
        <v>1261</v>
      </c>
      <c r="F65" s="91">
        <f>F24</f>
        <v>0</v>
      </c>
      <c r="G65" s="67">
        <f ca="1">IF(AND(COUNTIF(SmelterIdetifiedForMetal,"Tantalum")&gt;0,COUNTIF('Smelter List'!AB$5:AB$2504,"Tantalum?*")&gt;0),0,1)</f>
        <v>1</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41">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41">
      <c r="A67" s="86" t="s">
        <v>1762</v>
      </c>
      <c r="B67" s="86"/>
      <c r="C67" s="86" t="str">
        <f t="shared" ca="1" si="13"/>
        <v>Complete</v>
      </c>
      <c r="D67" s="92" t="str">
        <f ca="1">IF(H67=0,"","Click here to provide smelter information")</f>
        <v/>
      </c>
      <c r="E67" s="19" t="s">
        <v>770</v>
      </c>
      <c r="F67" s="91">
        <f>F26</f>
        <v>0</v>
      </c>
      <c r="G67" s="67">
        <f ca="1">IF(AND(COUNTIF(SmelterIdetifiedForMetal,"Gold")&gt;0,COUNTIF('Smelter List'!AB$5:AB$2504,"Gold?*")&gt;0),0,1)</f>
        <v>1</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41">
      <c r="A68" s="86" t="s">
        <v>1763</v>
      </c>
      <c r="B68" s="86"/>
      <c r="C68" s="86" t="str">
        <f t="shared" ca="1" si="13"/>
        <v>Complete</v>
      </c>
      <c r="D68" s="92" t="str">
        <f ca="1">IF(H68=0,"","Click here to provide smelter information")</f>
        <v/>
      </c>
      <c r="E68" s="19" t="s">
        <v>770</v>
      </c>
      <c r="F68" s="91">
        <f>F27</f>
        <v>0</v>
      </c>
      <c r="G68" s="67">
        <f ca="1">IF(AND(COUNTIF(SmelterIdetifiedForMetal,"Tungsten")&gt;0,COUNTIF('Smelter List'!AB$5:AB$2504,"Tungsten?*")&gt;0),0,1)</f>
        <v>1</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7">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59" customWidth="1"/>
    <col min="2" max="2" width="39.84375" style="262" customWidth="1"/>
    <col min="3" max="5" width="39.84375" style="259" customWidth="1"/>
    <col min="6" max="6" width="58.84375" style="259" customWidth="1"/>
    <col min="7" max="7" width="1.61328125" style="259" customWidth="1"/>
    <col min="8" max="8" width="9" style="259" customWidth="1"/>
    <col min="9" max="16384" width="8.84375" style="260"/>
  </cols>
  <sheetData>
    <row r="1" spans="1:8" s="20" customFormat="1" ht="35.15"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4" customHeight="1" thickBot="1">
      <c r="A2006" s="127"/>
      <c r="B2006" s="397" t="str">
        <f ca="1">OFFSET(L!$C$1,MATCH("General"&amp;"Cpy",L!$A:$A,0)-1,SL,,)</f>
        <v>© 2026 Responsible Minerals Initiative. All rights reserved.</v>
      </c>
      <c r="C2006" s="397"/>
      <c r="D2006" s="397"/>
      <c r="E2006" s="397"/>
      <c r="F2006" s="397"/>
      <c r="G2006" s="261"/>
    </row>
    <row r="2007" spans="1:7" ht="14"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73" bestFit="1" customWidth="1"/>
    <col min="2" max="2" width="42.84375" style="173" customWidth="1"/>
    <col min="3" max="3" width="63.84375" style="173" customWidth="1"/>
    <col min="4" max="4" width="25.61328125" style="173" customWidth="1"/>
    <col min="5" max="5" width="12.61328125" style="173" customWidth="1"/>
    <col min="6" max="6" width="12.61328125" style="174" customWidth="1"/>
    <col min="7" max="7" width="15.3828125" style="173" customWidth="1"/>
    <col min="8" max="8" width="23.84375" style="173" customWidth="1"/>
    <col min="9" max="9" width="28.15234375" style="173" customWidth="1"/>
    <col min="10" max="10" width="48.23046875" style="173" hidden="1" customWidth="1"/>
    <col min="11" max="11" width="49.765625" style="173" hidden="1" customWidth="1"/>
    <col min="12" max="16384" width="8.84375" style="173"/>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4375" defaultRowHeight="13.5"/>
  <cols>
    <col min="1" max="1" width="14.61328125" style="148" customWidth="1"/>
    <col min="2" max="2" width="14" style="148" customWidth="1"/>
    <col min="3" max="3" width="6.15234375" style="148" customWidth="1"/>
    <col min="4" max="4" width="56.23046875" style="148" customWidth="1"/>
    <col min="5" max="5" width="53.765625" style="216" customWidth="1"/>
    <col min="6" max="6" width="54.15234375" style="148" customWidth="1"/>
    <col min="7" max="7" width="68.23046875" style="148" customWidth="1"/>
    <col min="8" max="8" width="49.23046875" style="148" customWidth="1"/>
    <col min="9" max="9" width="51.61328125" style="148" customWidth="1"/>
    <col min="10" max="10" width="50.23046875" style="148" customWidth="1"/>
    <col min="11" max="11" width="51.84375" customWidth="1"/>
    <col min="12" max="12" width="66.84375" style="239" customWidth="1"/>
    <col min="13" max="13" width="46.15234375" style="106" customWidth="1"/>
    <col min="14" max="15" width="8.84375" style="106" customWidth="1"/>
    <col min="16" max="16384" width="8.843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3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1">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48.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1.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91.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55">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6">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6">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8">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4.5">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8">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1.5">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64.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3">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8.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1.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7">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1">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4.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1.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7.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2">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89">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6">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02.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10.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48.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48.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9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4.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7.5">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89">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3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48.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8">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9.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8">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48.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8">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0">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70">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89">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5.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5">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9">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40.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0.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9">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9">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40.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9">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9">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7">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7">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7">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7">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7">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7">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27">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7">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7">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7">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7">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7">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67.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67.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67.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67.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67.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67.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67.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4.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7.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7.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Lynne Fetsko</cp:lastModifiedBy>
  <cp:lastPrinted>2015-04-21T20:47:43Z</cp:lastPrinted>
  <dcterms:created xsi:type="dcterms:W3CDTF">2010-06-21T21:00:23Z</dcterms:created>
  <dcterms:modified xsi:type="dcterms:W3CDTF">2026-04-24T19:00:47Z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